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3665" yWindow="285" windowWidth="6675" windowHeight="10920" tabRatio="599" firstSheet="2" activeTab="8"/>
  </bookViews>
  <sheets>
    <sheet name="L1" sheetId="19" r:id="rId1"/>
    <sheet name="L2" sheetId="11" r:id="rId2"/>
    <sheet name="L3" sheetId="27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29" r:id="rId10"/>
    <sheet name="L37FPI" sheetId="1" r:id="rId11"/>
    <sheet name="L37Lives" sheetId="2" r:id="rId12"/>
    <sheet name="L38 FPI" sheetId="4" r:id="rId13"/>
    <sheet name="L38 NOP" sheetId="3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6" i="6"/>
  <c r="Y10"/>
  <c r="Z14"/>
  <c r="H17" i="19"/>
  <c r="G17"/>
  <c r="G23" i="27"/>
  <c r="F23"/>
  <c r="F19"/>
  <c r="G19"/>
  <c r="G18"/>
  <c r="F18"/>
  <c r="D57" i="19"/>
  <c r="C57"/>
  <c r="AU42" i="29"/>
  <c r="AU38"/>
  <c r="AU32"/>
  <c r="AU25"/>
  <c r="AV25" s="1"/>
  <c r="AU22"/>
  <c r="AV22" s="1"/>
  <c r="AU19"/>
  <c r="AU13"/>
  <c r="AV9"/>
  <c r="AU10" i="6"/>
  <c r="AU36" i="8"/>
  <c r="AT36"/>
  <c r="AT31"/>
  <c r="AU66" i="27"/>
  <c r="AT66"/>
  <c r="AU37" i="19"/>
  <c r="AU19"/>
  <c r="AR14" i="11"/>
  <c r="AS66" i="27"/>
  <c r="AR66"/>
  <c r="AS42" i="29"/>
  <c r="AS32"/>
  <c r="AS25"/>
  <c r="AS22"/>
  <c r="AS19"/>
  <c r="AS13"/>
  <c r="AQ42"/>
  <c r="AQ32"/>
  <c r="AQ25"/>
  <c r="AQ22"/>
  <c r="AQ19"/>
  <c r="AQ13"/>
  <c r="AP36" i="8"/>
  <c r="AQ36"/>
  <c r="AQ31" i="27"/>
  <c r="AQ31" i="19"/>
  <c r="AQ19"/>
  <c r="AQ56"/>
  <c r="AR19"/>
  <c r="AN66" i="27"/>
  <c r="AO66"/>
  <c r="AO36" i="8"/>
  <c r="AO32" i="29"/>
  <c r="AO25"/>
  <c r="AO22"/>
  <c r="AT10" i="6"/>
  <c r="AR22"/>
  <c r="AP34"/>
  <c r="AK42" i="29"/>
  <c r="AK32"/>
  <c r="AK25"/>
  <c r="AK22"/>
  <c r="AK19"/>
  <c r="AK13"/>
  <c r="AJ36" i="8"/>
  <c r="AJ9"/>
  <c r="AK36"/>
  <c r="AK9"/>
  <c r="AK37" i="19"/>
  <c r="AI37"/>
  <c r="AI56"/>
  <c r="AI8"/>
  <c r="AI19"/>
  <c r="AI42" i="29"/>
  <c r="AI32"/>
  <c r="AI25"/>
  <c r="AI22"/>
  <c r="AI19"/>
  <c r="AI13"/>
  <c r="AG42"/>
  <c r="AG32"/>
  <c r="AG25"/>
  <c r="AG22"/>
  <c r="AG19"/>
  <c r="AG12" i="22"/>
  <c r="AG36" i="8"/>
  <c r="AF36"/>
  <c r="AF26"/>
  <c r="AE22" i="29"/>
  <c r="AE19"/>
  <c r="AE13"/>
  <c r="AE22" i="6"/>
  <c r="AD22"/>
  <c r="AE36" i="8"/>
  <c r="AD36"/>
  <c r="AD14" i="11"/>
  <c r="AF19" i="19"/>
  <c r="Z19"/>
  <c r="Y19"/>
  <c r="Y14" i="11"/>
  <c r="Y13"/>
  <c r="Y60" i="27"/>
  <c r="X60"/>
  <c r="Y26"/>
  <c r="Z36" i="8"/>
  <c r="AA37"/>
  <c r="AA27" i="11"/>
  <c r="Z27"/>
  <c r="Z12"/>
  <c r="AC19"/>
  <c r="AB14"/>
  <c r="AC36" i="8"/>
  <c r="AC42" i="29"/>
  <c r="AC32"/>
  <c r="AC25"/>
  <c r="AC22"/>
  <c r="AC19"/>
  <c r="AC13"/>
  <c r="AC8" i="23"/>
  <c r="AC4"/>
  <c r="AC12" i="22"/>
  <c r="AC6"/>
  <c r="AA38" i="29"/>
  <c r="AA32"/>
  <c r="AA25"/>
  <c r="AA22"/>
  <c r="AA19"/>
  <c r="AA13"/>
  <c r="W32" l="1"/>
  <c r="W25"/>
  <c r="W22"/>
  <c r="W19"/>
  <c r="W13"/>
  <c r="W8" i="23"/>
  <c r="V36" i="8"/>
  <c r="W36"/>
  <c r="W41" i="11"/>
  <c r="W14"/>
  <c r="V14"/>
  <c r="X57" i="19"/>
  <c r="T22" i="6"/>
  <c r="U22"/>
  <c r="U22" i="11"/>
  <c r="U14"/>
  <c r="S36" i="8"/>
  <c r="S66" i="27"/>
  <c r="R66"/>
  <c r="S31"/>
  <c r="R31"/>
  <c r="R26"/>
  <c r="S26"/>
  <c r="S14"/>
  <c r="O66"/>
  <c r="O42" i="29"/>
  <c r="O32"/>
  <c r="O25"/>
  <c r="O22"/>
  <c r="O19"/>
  <c r="O13"/>
  <c r="N36" i="8"/>
  <c r="O36"/>
  <c r="N22" i="11"/>
  <c r="O22"/>
  <c r="P19" i="19"/>
  <c r="M38" i="29"/>
  <c r="M32"/>
  <c r="M25"/>
  <c r="M22"/>
  <c r="M19"/>
  <c r="M13"/>
  <c r="M23" i="27"/>
  <c r="M17"/>
  <c r="M22" i="11"/>
  <c r="M14"/>
  <c r="K42" i="29"/>
  <c r="K38"/>
  <c r="K32"/>
  <c r="K25"/>
  <c r="K22"/>
  <c r="K19"/>
  <c r="K13"/>
  <c r="K8" i="23"/>
  <c r="K36" i="8"/>
  <c r="J14" i="11"/>
  <c r="K14"/>
  <c r="E19" i="19"/>
  <c r="F19"/>
  <c r="E41" i="11"/>
  <c r="E14"/>
  <c r="I14"/>
  <c r="I32" i="29"/>
  <c r="I25"/>
  <c r="I22"/>
  <c r="I19"/>
  <c r="I13"/>
  <c r="I6" i="22"/>
  <c r="I27" i="6"/>
  <c r="I10"/>
  <c r="H34" i="8"/>
  <c r="I36"/>
  <c r="C10" i="6"/>
  <c r="C12" i="22"/>
  <c r="C8" i="23"/>
  <c r="C22" i="29"/>
  <c r="C25" s="1"/>
  <c r="C32" s="1"/>
  <c r="C42" s="1"/>
  <c r="B19"/>
  <c r="C13"/>
  <c r="C14" i="11"/>
  <c r="B14"/>
  <c r="F11" i="3" l="1"/>
  <c r="F11" i="4"/>
  <c r="AF11" i="3"/>
  <c r="Y11" i="2"/>
  <c r="Y11" i="1"/>
  <c r="AY18" i="4"/>
  <c r="E11" l="1"/>
  <c r="E11" i="3"/>
  <c r="AW11" s="1"/>
  <c r="BA11" s="1"/>
  <c r="AR50" i="27"/>
  <c r="AR51" s="1"/>
  <c r="AR10"/>
  <c r="AP50"/>
  <c r="AP51" s="1"/>
  <c r="AP10"/>
  <c r="AN50"/>
  <c r="AN51" s="1"/>
  <c r="AN10"/>
  <c r="AK50"/>
  <c r="AJ50"/>
  <c r="AJ10"/>
  <c r="AH50"/>
  <c r="AH47"/>
  <c r="AH10"/>
  <c r="AF50"/>
  <c r="AF47"/>
  <c r="AF10"/>
  <c r="AD50"/>
  <c r="AD47"/>
  <c r="AD10"/>
  <c r="AB50"/>
  <c r="AB47"/>
  <c r="AB10"/>
  <c r="Z50"/>
  <c r="Z47"/>
  <c r="Z10"/>
  <c r="X50"/>
  <c r="X51" s="1"/>
  <c r="X10"/>
  <c r="D50"/>
  <c r="D47"/>
  <c r="D51" s="1"/>
  <c r="D10"/>
  <c r="B50"/>
  <c r="B47"/>
  <c r="B10"/>
  <c r="AT50"/>
  <c r="AT51" s="1"/>
  <c r="AT10"/>
  <c r="V10"/>
  <c r="T50"/>
  <c r="T47"/>
  <c r="T10"/>
  <c r="R50"/>
  <c r="R47"/>
  <c r="AV14"/>
  <c r="AZ14" s="1"/>
  <c r="R10"/>
  <c r="P47"/>
  <c r="P10"/>
  <c r="N50"/>
  <c r="N47"/>
  <c r="N10"/>
  <c r="L50"/>
  <c r="L47"/>
  <c r="L10"/>
  <c r="K50"/>
  <c r="J50"/>
  <c r="J47"/>
  <c r="J10"/>
  <c r="H50"/>
  <c r="H47"/>
  <c r="H10"/>
  <c r="AI9" i="7"/>
  <c r="AW35" i="6"/>
  <c r="AW37"/>
  <c r="AV35"/>
  <c r="AV37"/>
  <c r="AW32"/>
  <c r="AW33"/>
  <c r="AW7"/>
  <c r="BA7" s="1"/>
  <c r="AW8"/>
  <c r="BA8" s="1"/>
  <c r="AW9"/>
  <c r="AW10"/>
  <c r="BA10" s="1"/>
  <c r="AW11"/>
  <c r="BA11" s="1"/>
  <c r="AW12"/>
  <c r="BA12" s="1"/>
  <c r="AW13"/>
  <c r="AW14"/>
  <c r="BA14" s="1"/>
  <c r="AW15"/>
  <c r="BA15" s="1"/>
  <c r="AW16"/>
  <c r="AW17"/>
  <c r="BA17" s="1"/>
  <c r="AW18"/>
  <c r="BA18" s="1"/>
  <c r="AW19"/>
  <c r="BA19" s="1"/>
  <c r="AW20"/>
  <c r="BA20" s="1"/>
  <c r="AW21"/>
  <c r="BA21" s="1"/>
  <c r="AW22"/>
  <c r="BA22" s="1"/>
  <c r="AW23"/>
  <c r="AW24"/>
  <c r="BA24" s="1"/>
  <c r="AW25"/>
  <c r="AW26"/>
  <c r="AW27"/>
  <c r="BA27" s="1"/>
  <c r="AW28"/>
  <c r="BA28" s="1"/>
  <c r="AW29"/>
  <c r="AW30"/>
  <c r="BA30" s="1"/>
  <c r="AW31"/>
  <c r="AV7"/>
  <c r="AZ7" s="1"/>
  <c r="AV8"/>
  <c r="AZ8" s="1"/>
  <c r="AV9"/>
  <c r="AV11"/>
  <c r="AZ11" s="1"/>
  <c r="AV12"/>
  <c r="AZ12" s="1"/>
  <c r="AV13"/>
  <c r="AZ13" s="1"/>
  <c r="AV15"/>
  <c r="AZ15" s="1"/>
  <c r="AV16"/>
  <c r="AV17"/>
  <c r="AZ17" s="1"/>
  <c r="AV18"/>
  <c r="AZ18" s="1"/>
  <c r="AV19"/>
  <c r="AV20"/>
  <c r="AZ20" s="1"/>
  <c r="AV21"/>
  <c r="AV23"/>
  <c r="AV24"/>
  <c r="AZ24" s="1"/>
  <c r="AV25"/>
  <c r="AV26"/>
  <c r="AV27"/>
  <c r="AZ27" s="1"/>
  <c r="AV28"/>
  <c r="AV29"/>
  <c r="AV30"/>
  <c r="AV31"/>
  <c r="AV32"/>
  <c r="AV33"/>
  <c r="AW6"/>
  <c r="BA6" s="1"/>
  <c r="AV6"/>
  <c r="AZ6" s="1"/>
  <c r="AV6" i="8"/>
  <c r="AZ6" s="1"/>
  <c r="AW6"/>
  <c r="BA6" s="1"/>
  <c r="AV7"/>
  <c r="AZ7" s="1"/>
  <c r="AW7"/>
  <c r="BA7" s="1"/>
  <c r="AV8"/>
  <c r="AZ8" s="1"/>
  <c r="AW8"/>
  <c r="BA8" s="1"/>
  <c r="AV9"/>
  <c r="AZ9" s="1"/>
  <c r="AW9"/>
  <c r="BA9" s="1"/>
  <c r="AV10"/>
  <c r="AZ10" s="1"/>
  <c r="AW10"/>
  <c r="BA10" s="1"/>
  <c r="AV11"/>
  <c r="AZ11" s="1"/>
  <c r="AW11"/>
  <c r="BA11" s="1"/>
  <c r="AW12"/>
  <c r="BA12" s="1"/>
  <c r="AV13"/>
  <c r="AZ13" s="1"/>
  <c r="AW13"/>
  <c r="BA13" s="1"/>
  <c r="AV14"/>
  <c r="AZ14" s="1"/>
  <c r="AW14"/>
  <c r="BA14" s="1"/>
  <c r="AV15"/>
  <c r="AZ15" s="1"/>
  <c r="AW15"/>
  <c r="BA15" s="1"/>
  <c r="AV16"/>
  <c r="AZ16" s="1"/>
  <c r="AW16"/>
  <c r="BA16" s="1"/>
  <c r="AV17"/>
  <c r="AZ17" s="1"/>
  <c r="AW17"/>
  <c r="BA17" s="1"/>
  <c r="AV18"/>
  <c r="AZ18" s="1"/>
  <c r="AW18"/>
  <c r="BA18" s="1"/>
  <c r="AV19"/>
  <c r="AZ19" s="1"/>
  <c r="AW19"/>
  <c r="BA19" s="1"/>
  <c r="AW20"/>
  <c r="BA20" s="1"/>
  <c r="AV21"/>
  <c r="AZ21" s="1"/>
  <c r="AW21"/>
  <c r="BA21" s="1"/>
  <c r="AV22"/>
  <c r="AZ22" s="1"/>
  <c r="AW22"/>
  <c r="BA22" s="1"/>
  <c r="AV23"/>
  <c r="AZ23" s="1"/>
  <c r="AW23"/>
  <c r="BA23" s="1"/>
  <c r="AW24"/>
  <c r="BA24" s="1"/>
  <c r="AW25"/>
  <c r="BA25" s="1"/>
  <c r="AW26"/>
  <c r="BA26" s="1"/>
  <c r="AV27"/>
  <c r="AZ27" s="1"/>
  <c r="AW27"/>
  <c r="BA27" s="1"/>
  <c r="AV28"/>
  <c r="AZ28" s="1"/>
  <c r="AW28"/>
  <c r="BA28" s="1"/>
  <c r="AW29"/>
  <c r="BA29" s="1"/>
  <c r="AV30"/>
  <c r="AZ30" s="1"/>
  <c r="AW30"/>
  <c r="BA30" s="1"/>
  <c r="AW31"/>
  <c r="BA31" s="1"/>
  <c r="AV32"/>
  <c r="AZ32" s="1"/>
  <c r="AW32"/>
  <c r="BA32" s="1"/>
  <c r="AV33"/>
  <c r="AZ33" s="1"/>
  <c r="AW33"/>
  <c r="BA33" s="1"/>
  <c r="AW34"/>
  <c r="BA34" s="1"/>
  <c r="AV35"/>
  <c r="AZ35" s="1"/>
  <c r="AW35"/>
  <c r="BA35" s="1"/>
  <c r="AW36"/>
  <c r="BA36" s="1"/>
  <c r="AV37"/>
  <c r="AZ37" s="1"/>
  <c r="AW37"/>
  <c r="BA37" s="1"/>
  <c r="AW5"/>
  <c r="BA5" s="1"/>
  <c r="AV5"/>
  <c r="AZ5" s="1"/>
  <c r="AV10" i="6"/>
  <c r="AZ10" s="1"/>
  <c r="AV31" i="8"/>
  <c r="AZ31" s="1"/>
  <c r="X25"/>
  <c r="AV25" s="1"/>
  <c r="AZ25" s="1"/>
  <c r="AV5" i="27"/>
  <c r="AZ5" s="1"/>
  <c r="AV27"/>
  <c r="AZ27" s="1"/>
  <c r="AW27"/>
  <c r="BA27" s="1"/>
  <c r="AS14" i="22"/>
  <c r="AQ14"/>
  <c r="AR27" i="11"/>
  <c r="AQ50" i="27"/>
  <c r="AQ51" s="1"/>
  <c r="AO50"/>
  <c r="AO51" s="1"/>
  <c r="AK14" i="22"/>
  <c r="AC14"/>
  <c r="AV60" i="27"/>
  <c r="AZ60" s="1"/>
  <c r="AV14" i="6"/>
  <c r="AZ14" s="1"/>
  <c r="Z34"/>
  <c r="AU60" i="19"/>
  <c r="AV20" i="8"/>
  <c r="AZ20" s="1"/>
  <c r="AV12"/>
  <c r="AZ12" s="1"/>
  <c r="AV31" i="27"/>
  <c r="AZ31" s="1"/>
  <c r="AV26"/>
  <c r="AZ26" s="1"/>
  <c r="AW26"/>
  <c r="BA26" s="1"/>
  <c r="T34" i="6"/>
  <c r="T36" s="1"/>
  <c r="T38" s="1"/>
  <c r="T38" i="8"/>
  <c r="U38"/>
  <c r="AW23" i="27"/>
  <c r="BA23" s="1"/>
  <c r="AI10"/>
  <c r="AH27" i="11"/>
  <c r="AV26" i="8"/>
  <c r="AZ26" s="1"/>
  <c r="AI50" i="27"/>
  <c r="AG50"/>
  <c r="AG47"/>
  <c r="Q14" i="22"/>
  <c r="AV29" i="8"/>
  <c r="AZ29" s="1"/>
  <c r="K14" i="22"/>
  <c r="AV34" i="8"/>
  <c r="AZ34" s="1"/>
  <c r="AV24"/>
  <c r="AZ24" s="1"/>
  <c r="B38"/>
  <c r="AE38"/>
  <c r="AV5" i="3"/>
  <c r="AZ5" s="1"/>
  <c r="AW5"/>
  <c r="BA5" s="1"/>
  <c r="AV6"/>
  <c r="AZ6" s="1"/>
  <c r="AW6"/>
  <c r="BA6" s="1"/>
  <c r="AV7"/>
  <c r="AZ7" s="1"/>
  <c r="AW7"/>
  <c r="BA7" s="1"/>
  <c r="AV8"/>
  <c r="AZ8" s="1"/>
  <c r="AW8"/>
  <c r="BA8" s="1"/>
  <c r="AV9"/>
  <c r="AZ9" s="1"/>
  <c r="AW9"/>
  <c r="BA9" s="1"/>
  <c r="AV10"/>
  <c r="AZ10"/>
  <c r="AW10"/>
  <c r="BA10" s="1"/>
  <c r="AV11"/>
  <c r="AZ11" s="1"/>
  <c r="AV14"/>
  <c r="AZ14" s="1"/>
  <c r="AW14"/>
  <c r="BA14" s="1"/>
  <c r="AV15"/>
  <c r="AZ15" s="1"/>
  <c r="AW15"/>
  <c r="BA15" s="1"/>
  <c r="AV16"/>
  <c r="AZ16" s="1"/>
  <c r="AW16"/>
  <c r="BA16" s="1"/>
  <c r="AV17"/>
  <c r="AZ17" s="1"/>
  <c r="AW17"/>
  <c r="BA17" s="1"/>
  <c r="B18"/>
  <c r="B20" s="1"/>
  <c r="C18"/>
  <c r="C20" s="1"/>
  <c r="D18"/>
  <c r="E18"/>
  <c r="E20" s="1"/>
  <c r="F18"/>
  <c r="F20" s="1"/>
  <c r="G18"/>
  <c r="G20" s="1"/>
  <c r="H18"/>
  <c r="H20" s="1"/>
  <c r="I18"/>
  <c r="I20" s="1"/>
  <c r="J18"/>
  <c r="J20" s="1"/>
  <c r="K18"/>
  <c r="K20" s="1"/>
  <c r="L18"/>
  <c r="L20" s="1"/>
  <c r="M18"/>
  <c r="M20" s="1"/>
  <c r="N18"/>
  <c r="N20" s="1"/>
  <c r="O18"/>
  <c r="O20" s="1"/>
  <c r="P18"/>
  <c r="P20" s="1"/>
  <c r="Q18"/>
  <c r="Q20" s="1"/>
  <c r="R18"/>
  <c r="R20" s="1"/>
  <c r="S18"/>
  <c r="S20" s="1"/>
  <c r="T18"/>
  <c r="T20" s="1"/>
  <c r="U18"/>
  <c r="U20" s="1"/>
  <c r="V18"/>
  <c r="V20" s="1"/>
  <c r="W18"/>
  <c r="W20" s="1"/>
  <c r="X18"/>
  <c r="X20" s="1"/>
  <c r="Y18"/>
  <c r="Y20" s="1"/>
  <c r="Z18"/>
  <c r="Z20"/>
  <c r="AA18"/>
  <c r="AA20" s="1"/>
  <c r="AB18"/>
  <c r="AB20" s="1"/>
  <c r="AC18"/>
  <c r="AC20" s="1"/>
  <c r="AD18"/>
  <c r="AD20" s="1"/>
  <c r="AE18"/>
  <c r="AE20" s="1"/>
  <c r="AF18"/>
  <c r="AF20" s="1"/>
  <c r="AG18"/>
  <c r="AG20" s="1"/>
  <c r="AH18"/>
  <c r="AH20" s="1"/>
  <c r="AI18"/>
  <c r="AI20" s="1"/>
  <c r="AJ18"/>
  <c r="AJ20" s="1"/>
  <c r="AK18"/>
  <c r="AL18"/>
  <c r="AL20" s="1"/>
  <c r="AM18"/>
  <c r="AM20" s="1"/>
  <c r="AN18"/>
  <c r="AN20" s="1"/>
  <c r="AO18"/>
  <c r="AO20" s="1"/>
  <c r="AP18"/>
  <c r="AP20" s="1"/>
  <c r="AQ18"/>
  <c r="AQ20" s="1"/>
  <c r="AR18"/>
  <c r="AR20" s="1"/>
  <c r="AS18"/>
  <c r="AS20" s="1"/>
  <c r="AT18"/>
  <c r="AT20" s="1"/>
  <c r="AU18"/>
  <c r="AX18"/>
  <c r="AX20" s="1"/>
  <c r="AY18"/>
  <c r="AY20" s="1"/>
  <c r="AV19"/>
  <c r="AZ19" s="1"/>
  <c r="AW19"/>
  <c r="BA19" s="1"/>
  <c r="AK20"/>
  <c r="AV5" i="4"/>
  <c r="AZ5" s="1"/>
  <c r="AW5"/>
  <c r="BA5" s="1"/>
  <c r="AV6"/>
  <c r="AZ6" s="1"/>
  <c r="AW6"/>
  <c r="BA6" s="1"/>
  <c r="AV7"/>
  <c r="AZ7" s="1"/>
  <c r="AW7"/>
  <c r="BA7" s="1"/>
  <c r="AV8"/>
  <c r="AZ8" s="1"/>
  <c r="AW8"/>
  <c r="BA8" s="1"/>
  <c r="AV9"/>
  <c r="AZ9" s="1"/>
  <c r="AW9"/>
  <c r="BA9" s="1"/>
  <c r="AV10"/>
  <c r="AZ10" s="1"/>
  <c r="AW10"/>
  <c r="BA10" s="1"/>
  <c r="AV11"/>
  <c r="AZ11" s="1"/>
  <c r="AW11"/>
  <c r="BA11" s="1"/>
  <c r="AV14"/>
  <c r="AZ14" s="1"/>
  <c r="AW14"/>
  <c r="BA14" s="1"/>
  <c r="AV15"/>
  <c r="AZ15" s="1"/>
  <c r="AW15"/>
  <c r="BA15" s="1"/>
  <c r="AV16"/>
  <c r="AZ16"/>
  <c r="AW16"/>
  <c r="BA16" s="1"/>
  <c r="AV17"/>
  <c r="AZ17" s="1"/>
  <c r="AW17"/>
  <c r="BA17" s="1"/>
  <c r="B18"/>
  <c r="B20" s="1"/>
  <c r="C18"/>
  <c r="C20" s="1"/>
  <c r="D18"/>
  <c r="E18"/>
  <c r="E20" s="1"/>
  <c r="F18"/>
  <c r="F20" s="1"/>
  <c r="G18"/>
  <c r="G20" s="1"/>
  <c r="H18"/>
  <c r="H20" s="1"/>
  <c r="I18"/>
  <c r="I20" s="1"/>
  <c r="J18"/>
  <c r="J20" s="1"/>
  <c r="K18"/>
  <c r="K20" s="1"/>
  <c r="L18"/>
  <c r="L20"/>
  <c r="M18"/>
  <c r="M20" s="1"/>
  <c r="N18"/>
  <c r="N20" s="1"/>
  <c r="O18"/>
  <c r="O20" s="1"/>
  <c r="P18"/>
  <c r="P20"/>
  <c r="Q18"/>
  <c r="Q20" s="1"/>
  <c r="R18"/>
  <c r="R20"/>
  <c r="S18"/>
  <c r="S20" s="1"/>
  <c r="T18"/>
  <c r="T20" s="1"/>
  <c r="U18"/>
  <c r="U20" s="1"/>
  <c r="V18"/>
  <c r="V20" s="1"/>
  <c r="W18"/>
  <c r="W20" s="1"/>
  <c r="X18"/>
  <c r="X20" s="1"/>
  <c r="Y18"/>
  <c r="Y20" s="1"/>
  <c r="Z18"/>
  <c r="Z20" s="1"/>
  <c r="AA18"/>
  <c r="AA20" s="1"/>
  <c r="AB18"/>
  <c r="AC18"/>
  <c r="AC20" s="1"/>
  <c r="AD18"/>
  <c r="AE18"/>
  <c r="AE20" s="1"/>
  <c r="AF18"/>
  <c r="AF20" s="1"/>
  <c r="AG18"/>
  <c r="AG20" s="1"/>
  <c r="AH18"/>
  <c r="AH20" s="1"/>
  <c r="AI18"/>
  <c r="AJ18"/>
  <c r="AK18"/>
  <c r="AK20" s="1"/>
  <c r="AL18"/>
  <c r="AL20" s="1"/>
  <c r="AM18"/>
  <c r="AM20"/>
  <c r="AN18"/>
  <c r="AN20" s="1"/>
  <c r="AO18"/>
  <c r="AO20" s="1"/>
  <c r="AP18"/>
  <c r="AP20" s="1"/>
  <c r="AQ18"/>
  <c r="AR18"/>
  <c r="AR20" s="1"/>
  <c r="AS18"/>
  <c r="AS20" s="1"/>
  <c r="AT18"/>
  <c r="AT20" s="1"/>
  <c r="AU18"/>
  <c r="AU20" s="1"/>
  <c r="AX18"/>
  <c r="AX20" s="1"/>
  <c r="AY20"/>
  <c r="AV19"/>
  <c r="AZ19" s="1"/>
  <c r="AW19"/>
  <c r="BA19" s="1"/>
  <c r="D20"/>
  <c r="AB20"/>
  <c r="AD20"/>
  <c r="AI20"/>
  <c r="AJ20"/>
  <c r="AV5" i="2"/>
  <c r="AZ5" s="1"/>
  <c r="AW5"/>
  <c r="BA5" s="1"/>
  <c r="AV6"/>
  <c r="AZ6" s="1"/>
  <c r="AW6"/>
  <c r="BA6" s="1"/>
  <c r="AV7"/>
  <c r="AZ7" s="1"/>
  <c r="AW7"/>
  <c r="BA7" s="1"/>
  <c r="AV8"/>
  <c r="AZ8"/>
  <c r="AW8"/>
  <c r="BA8" s="1"/>
  <c r="AV9"/>
  <c r="AZ9" s="1"/>
  <c r="AW9"/>
  <c r="BA9" s="1"/>
  <c r="AV10"/>
  <c r="AZ10" s="1"/>
  <c r="AW10"/>
  <c r="BA10" s="1"/>
  <c r="X11"/>
  <c r="X12" s="1"/>
  <c r="X14" s="1"/>
  <c r="AW11"/>
  <c r="BA11" s="1"/>
  <c r="B12"/>
  <c r="B14" s="1"/>
  <c r="C12"/>
  <c r="C14" s="1"/>
  <c r="D12"/>
  <c r="D14" s="1"/>
  <c r="E12"/>
  <c r="F12"/>
  <c r="F14" s="1"/>
  <c r="G12"/>
  <c r="G14" s="1"/>
  <c r="H12"/>
  <c r="H14" s="1"/>
  <c r="I12"/>
  <c r="I14" s="1"/>
  <c r="J12"/>
  <c r="J14"/>
  <c r="K12"/>
  <c r="K14" s="1"/>
  <c r="L12"/>
  <c r="M12"/>
  <c r="M14" s="1"/>
  <c r="N12"/>
  <c r="O12"/>
  <c r="O14" s="1"/>
  <c r="P12"/>
  <c r="P14" s="1"/>
  <c r="Q12"/>
  <c r="Q14" s="1"/>
  <c r="R12"/>
  <c r="S12"/>
  <c r="S14" s="1"/>
  <c r="T12"/>
  <c r="T14" s="1"/>
  <c r="U12"/>
  <c r="U14" s="1"/>
  <c r="V12"/>
  <c r="V14" s="1"/>
  <c r="W12"/>
  <c r="W14" s="1"/>
  <c r="Y12"/>
  <c r="Y14" s="1"/>
  <c r="Z12"/>
  <c r="Z14"/>
  <c r="AA12"/>
  <c r="AA14" s="1"/>
  <c r="AB12"/>
  <c r="AB14"/>
  <c r="AC12"/>
  <c r="AC14" s="1"/>
  <c r="AD12"/>
  <c r="AD14"/>
  <c r="AE12"/>
  <c r="AE14" s="1"/>
  <c r="AF12"/>
  <c r="AF14" s="1"/>
  <c r="AG12"/>
  <c r="AG14" s="1"/>
  <c r="AH12"/>
  <c r="AH14"/>
  <c r="AI12"/>
  <c r="AI14" s="1"/>
  <c r="AJ12"/>
  <c r="AJ14"/>
  <c r="AK12"/>
  <c r="AK14" s="1"/>
  <c r="AL12"/>
  <c r="AL14" s="1"/>
  <c r="AM12"/>
  <c r="AM14" s="1"/>
  <c r="AN12"/>
  <c r="AN14" s="1"/>
  <c r="AO12"/>
  <c r="AO14" s="1"/>
  <c r="AP12"/>
  <c r="AP14" s="1"/>
  <c r="AQ12"/>
  <c r="AQ14" s="1"/>
  <c r="AR12"/>
  <c r="AR14" s="1"/>
  <c r="AS12"/>
  <c r="AS14" s="1"/>
  <c r="AT12"/>
  <c r="AT14" s="1"/>
  <c r="AU12"/>
  <c r="AU14" s="1"/>
  <c r="AX12"/>
  <c r="AX14" s="1"/>
  <c r="AY12"/>
  <c r="AY14" s="1"/>
  <c r="AV13"/>
  <c r="AZ13" s="1"/>
  <c r="AW13"/>
  <c r="BA13" s="1"/>
  <c r="L14"/>
  <c r="N14"/>
  <c r="R14"/>
  <c r="AV5" i="1"/>
  <c r="AZ5" s="1"/>
  <c r="AW5"/>
  <c r="BA5" s="1"/>
  <c r="AV6"/>
  <c r="AZ6" s="1"/>
  <c r="AW6"/>
  <c r="BA6" s="1"/>
  <c r="AV7"/>
  <c r="AZ7" s="1"/>
  <c r="AW7"/>
  <c r="BA7" s="1"/>
  <c r="AV8"/>
  <c r="AZ8" s="1"/>
  <c r="AW8"/>
  <c r="BA8" s="1"/>
  <c r="AV9"/>
  <c r="AZ9"/>
  <c r="AW9"/>
  <c r="BA9" s="1"/>
  <c r="AV10"/>
  <c r="AZ10" s="1"/>
  <c r="AW10"/>
  <c r="BA10" s="1"/>
  <c r="AV11"/>
  <c r="AZ11" s="1"/>
  <c r="AW11"/>
  <c r="BA11" s="1"/>
  <c r="B12"/>
  <c r="C12"/>
  <c r="C14" s="1"/>
  <c r="D12"/>
  <c r="D14"/>
  <c r="E12"/>
  <c r="E14" s="1"/>
  <c r="F12"/>
  <c r="F14" s="1"/>
  <c r="G12"/>
  <c r="G14" s="1"/>
  <c r="H12"/>
  <c r="H14" s="1"/>
  <c r="I12"/>
  <c r="I14" s="1"/>
  <c r="J12"/>
  <c r="J14"/>
  <c r="K12"/>
  <c r="K14" s="1"/>
  <c r="L12"/>
  <c r="L14" s="1"/>
  <c r="M12"/>
  <c r="M14" s="1"/>
  <c r="N12"/>
  <c r="N14" s="1"/>
  <c r="O12"/>
  <c r="O14" s="1"/>
  <c r="P12"/>
  <c r="P14" s="1"/>
  <c r="Q12"/>
  <c r="Q14" s="1"/>
  <c r="R12"/>
  <c r="R14" s="1"/>
  <c r="S12"/>
  <c r="S14" s="1"/>
  <c r="T12"/>
  <c r="T14"/>
  <c r="U12"/>
  <c r="U14" s="1"/>
  <c r="V12"/>
  <c r="V14" s="1"/>
  <c r="W12"/>
  <c r="W14" s="1"/>
  <c r="X12"/>
  <c r="X14"/>
  <c r="Y12"/>
  <c r="Y14" s="1"/>
  <c r="Z12"/>
  <c r="Z14" s="1"/>
  <c r="AA12"/>
  <c r="AA14" s="1"/>
  <c r="AB12"/>
  <c r="AB14" s="1"/>
  <c r="AC12"/>
  <c r="AC14" s="1"/>
  <c r="AD12"/>
  <c r="AD14"/>
  <c r="AE12"/>
  <c r="AE14" s="1"/>
  <c r="AF12"/>
  <c r="AF14" s="1"/>
  <c r="AG12"/>
  <c r="AG14" s="1"/>
  <c r="AH12"/>
  <c r="AI12"/>
  <c r="AI14" s="1"/>
  <c r="AJ12"/>
  <c r="AJ14"/>
  <c r="AK12"/>
  <c r="AK14" s="1"/>
  <c r="AL12"/>
  <c r="AL14" s="1"/>
  <c r="AM12"/>
  <c r="AM14" s="1"/>
  <c r="AN12"/>
  <c r="AN14" s="1"/>
  <c r="AO12"/>
  <c r="AO14" s="1"/>
  <c r="AP12"/>
  <c r="AP14" s="1"/>
  <c r="AQ12"/>
  <c r="AQ14" s="1"/>
  <c r="AR12"/>
  <c r="AR14"/>
  <c r="AS12"/>
  <c r="AS14" s="1"/>
  <c r="AT12"/>
  <c r="AT14" s="1"/>
  <c r="AU12"/>
  <c r="AU14" s="1"/>
  <c r="AX12"/>
  <c r="AY12"/>
  <c r="AY14" s="1"/>
  <c r="AV13"/>
  <c r="AZ13"/>
  <c r="AW13"/>
  <c r="BA13" s="1"/>
  <c r="B14"/>
  <c r="AH14"/>
  <c r="AX14"/>
  <c r="AV6" i="29"/>
  <c r="AZ6" s="1"/>
  <c r="AV7"/>
  <c r="AZ7" s="1"/>
  <c r="AV8"/>
  <c r="AZ8" s="1"/>
  <c r="AZ9"/>
  <c r="AV10"/>
  <c r="AZ10" s="1"/>
  <c r="AV11"/>
  <c r="AZ11" s="1"/>
  <c r="AV12"/>
  <c r="B13"/>
  <c r="D13"/>
  <c r="H13"/>
  <c r="J13"/>
  <c r="L13"/>
  <c r="N13"/>
  <c r="R13"/>
  <c r="R22" s="1"/>
  <c r="T22"/>
  <c r="V13"/>
  <c r="V22" s="1"/>
  <c r="V25" s="1"/>
  <c r="V32" s="1"/>
  <c r="X13"/>
  <c r="X19" s="1"/>
  <c r="Z13"/>
  <c r="Z19" s="1"/>
  <c r="Z22" s="1"/>
  <c r="Z25" s="1"/>
  <c r="Z32" s="1"/>
  <c r="Z42" s="1"/>
  <c r="AB13"/>
  <c r="AB19" s="1"/>
  <c r="AB22" s="1"/>
  <c r="AB25" s="1"/>
  <c r="AB32" s="1"/>
  <c r="AB42" s="1"/>
  <c r="AD13"/>
  <c r="AD22" s="1"/>
  <c r="AD25" s="1"/>
  <c r="AD32" s="1"/>
  <c r="AD42" s="1"/>
  <c r="AF13"/>
  <c r="AF19" s="1"/>
  <c r="AF22" s="1"/>
  <c r="AF25" s="1"/>
  <c r="AF32" s="1"/>
  <c r="AF42" s="1"/>
  <c r="AH13"/>
  <c r="AJ13"/>
  <c r="AJ19" s="1"/>
  <c r="AJ22" s="1"/>
  <c r="AJ25" s="1"/>
  <c r="AJ32" s="1"/>
  <c r="AJ42" s="1"/>
  <c r="AN13"/>
  <c r="AN22" s="1"/>
  <c r="AN25" s="1"/>
  <c r="AN32" s="1"/>
  <c r="AN42" s="1"/>
  <c r="AP13"/>
  <c r="AR13"/>
  <c r="AR19" s="1"/>
  <c r="AR22" s="1"/>
  <c r="AR25" s="1"/>
  <c r="AR32" s="1"/>
  <c r="AR42" s="1"/>
  <c r="AT13"/>
  <c r="AV14"/>
  <c r="AZ14" s="1"/>
  <c r="AV15"/>
  <c r="AZ15" s="1"/>
  <c r="AV16"/>
  <c r="AZ16" s="1"/>
  <c r="AV17"/>
  <c r="AZ17" s="1"/>
  <c r="AV18"/>
  <c r="AZ18" s="1"/>
  <c r="H19"/>
  <c r="H22" s="1"/>
  <c r="H25" s="1"/>
  <c r="H32" s="1"/>
  <c r="H42" s="1"/>
  <c r="J19"/>
  <c r="AH19"/>
  <c r="AT19"/>
  <c r="AV20"/>
  <c r="AZ20" s="1"/>
  <c r="AV21"/>
  <c r="B22"/>
  <c r="D22"/>
  <c r="D25" s="1"/>
  <c r="D32" s="1"/>
  <c r="D42" s="1"/>
  <c r="J22"/>
  <c r="L22"/>
  <c r="N22"/>
  <c r="AH22"/>
  <c r="AP22"/>
  <c r="AT22"/>
  <c r="AV23"/>
  <c r="AZ23" s="1"/>
  <c r="AV24"/>
  <c r="AZ24" s="1"/>
  <c r="B25"/>
  <c r="B32" s="1"/>
  <c r="J25"/>
  <c r="L25"/>
  <c r="N25"/>
  <c r="N32" s="1"/>
  <c r="N42" s="1"/>
  <c r="AH25"/>
  <c r="AP25"/>
  <c r="AT25"/>
  <c r="AV26"/>
  <c r="AZ26" s="1"/>
  <c r="AV27"/>
  <c r="AV28"/>
  <c r="AZ28" s="1"/>
  <c r="AV29"/>
  <c r="AZ29" s="1"/>
  <c r="AV30"/>
  <c r="AZ30" s="1"/>
  <c r="AV31"/>
  <c r="J32"/>
  <c r="J42" s="1"/>
  <c r="L32"/>
  <c r="L42" s="1"/>
  <c r="AH32"/>
  <c r="AH42" s="1"/>
  <c r="AP32"/>
  <c r="AP42" s="1"/>
  <c r="AT32"/>
  <c r="AT42" s="1"/>
  <c r="AV33"/>
  <c r="AZ33" s="1"/>
  <c r="AV34"/>
  <c r="AV35"/>
  <c r="AV36"/>
  <c r="AV37"/>
  <c r="AV39"/>
  <c r="AV40"/>
  <c r="AV41"/>
  <c r="F42"/>
  <c r="AL42"/>
  <c r="B8" i="23"/>
  <c r="D8"/>
  <c r="F8"/>
  <c r="H8"/>
  <c r="J8"/>
  <c r="L8"/>
  <c r="N8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AV4" i="22"/>
  <c r="AZ4"/>
  <c r="AW4"/>
  <c r="BA4" s="1"/>
  <c r="AV5"/>
  <c r="AZ5" s="1"/>
  <c r="AV6"/>
  <c r="AZ6" s="1"/>
  <c r="AV7"/>
  <c r="AZ7" s="1"/>
  <c r="AW7"/>
  <c r="BA7" s="1"/>
  <c r="AV8"/>
  <c r="AZ8" s="1"/>
  <c r="AW8"/>
  <c r="BA8" s="1"/>
  <c r="AV9"/>
  <c r="AZ9" s="1"/>
  <c r="AW9"/>
  <c r="BA9" s="1"/>
  <c r="AV10"/>
  <c r="AZ10" s="1"/>
  <c r="AW10"/>
  <c r="BA10" s="1"/>
  <c r="AV11"/>
  <c r="AZ11" s="1"/>
  <c r="AW11"/>
  <c r="BA11" s="1"/>
  <c r="AV12"/>
  <c r="AZ12" s="1"/>
  <c r="AW12"/>
  <c r="BA12" s="1"/>
  <c r="AV13"/>
  <c r="AZ13" s="1"/>
  <c r="AW13"/>
  <c r="BA13" s="1"/>
  <c r="B14"/>
  <c r="C14"/>
  <c r="D14"/>
  <c r="E14"/>
  <c r="F14"/>
  <c r="G14"/>
  <c r="H14"/>
  <c r="I14"/>
  <c r="J14"/>
  <c r="L14"/>
  <c r="M14"/>
  <c r="N14"/>
  <c r="O14"/>
  <c r="P14"/>
  <c r="R14"/>
  <c r="S14"/>
  <c r="T14"/>
  <c r="U14"/>
  <c r="V14"/>
  <c r="W14"/>
  <c r="X14"/>
  <c r="Y14"/>
  <c r="Z14"/>
  <c r="AA14"/>
  <c r="AB14"/>
  <c r="AD14"/>
  <c r="AF14"/>
  <c r="AH14"/>
  <c r="AI14"/>
  <c r="AJ14"/>
  <c r="AL14"/>
  <c r="AN14"/>
  <c r="AO14"/>
  <c r="AP14"/>
  <c r="AR14"/>
  <c r="AT14"/>
  <c r="AU14"/>
  <c r="AX14"/>
  <c r="AY14"/>
  <c r="BA13" i="6"/>
  <c r="AY34"/>
  <c r="AY36"/>
  <c r="AY38" s="1"/>
  <c r="BA16"/>
  <c r="U34"/>
  <c r="U36" s="1"/>
  <c r="U38" s="1"/>
  <c r="AS34"/>
  <c r="AS36" s="1"/>
  <c r="AS38" s="1"/>
  <c r="B34"/>
  <c r="B36" s="1"/>
  <c r="C34"/>
  <c r="C36" s="1"/>
  <c r="C38" s="1"/>
  <c r="D34"/>
  <c r="D36" s="1"/>
  <c r="D38" s="1"/>
  <c r="E34"/>
  <c r="E36" s="1"/>
  <c r="E38" s="1"/>
  <c r="F34"/>
  <c r="F36" s="1"/>
  <c r="F38" s="1"/>
  <c r="G34"/>
  <c r="G36" s="1"/>
  <c r="G38" s="1"/>
  <c r="H34"/>
  <c r="H36" s="1"/>
  <c r="H38" s="1"/>
  <c r="J34"/>
  <c r="J36" s="1"/>
  <c r="J38" s="1"/>
  <c r="K34"/>
  <c r="K36" s="1"/>
  <c r="K38" s="1"/>
  <c r="L34"/>
  <c r="L36" s="1"/>
  <c r="L38" s="1"/>
  <c r="M34"/>
  <c r="M36" s="1"/>
  <c r="M38" s="1"/>
  <c r="N34"/>
  <c r="N36" s="1"/>
  <c r="N38" s="1"/>
  <c r="O34"/>
  <c r="O36" s="1"/>
  <c r="O38" s="1"/>
  <c r="P34"/>
  <c r="P36" s="1"/>
  <c r="P38" s="1"/>
  <c r="Q34"/>
  <c r="Q36" s="1"/>
  <c r="Q38" s="1"/>
  <c r="R34"/>
  <c r="R36" s="1"/>
  <c r="R38" s="1"/>
  <c r="S34"/>
  <c r="S36" s="1"/>
  <c r="S38" s="1"/>
  <c r="V34"/>
  <c r="V36" s="1"/>
  <c r="V38" s="1"/>
  <c r="W34"/>
  <c r="W36" s="1"/>
  <c r="W38" s="1"/>
  <c r="X34"/>
  <c r="Y34"/>
  <c r="Z36"/>
  <c r="Z38" s="1"/>
  <c r="AA34"/>
  <c r="AA36" s="1"/>
  <c r="AA38" s="1"/>
  <c r="AB34"/>
  <c r="AB36" s="1"/>
  <c r="AB38" s="1"/>
  <c r="AC34"/>
  <c r="AC36" s="1"/>
  <c r="AC38" s="1"/>
  <c r="AD34"/>
  <c r="AD36" s="1"/>
  <c r="AD38" s="1"/>
  <c r="AE34"/>
  <c r="AE36" s="1"/>
  <c r="AE38" s="1"/>
  <c r="AF34"/>
  <c r="AF36" s="1"/>
  <c r="AF38" s="1"/>
  <c r="AG34"/>
  <c r="AG36" s="1"/>
  <c r="AG38" s="1"/>
  <c r="AH34"/>
  <c r="AH36"/>
  <c r="AH38" s="1"/>
  <c r="AI34"/>
  <c r="AI36" s="1"/>
  <c r="AI38" s="1"/>
  <c r="AJ34"/>
  <c r="AJ36" s="1"/>
  <c r="AJ38" s="1"/>
  <c r="AK34"/>
  <c r="AK36" s="1"/>
  <c r="AK38" s="1"/>
  <c r="AL34"/>
  <c r="AL36"/>
  <c r="AL38" s="1"/>
  <c r="AM34"/>
  <c r="AM36" s="1"/>
  <c r="AM38" s="1"/>
  <c r="AN34"/>
  <c r="AN36" s="1"/>
  <c r="AN38" s="1"/>
  <c r="AO34"/>
  <c r="AO36" s="1"/>
  <c r="AO38" s="1"/>
  <c r="AP36"/>
  <c r="AP38" s="1"/>
  <c r="AQ34"/>
  <c r="AQ36" s="1"/>
  <c r="AQ38" s="1"/>
  <c r="AR34"/>
  <c r="AR36" s="1"/>
  <c r="AR38" s="1"/>
  <c r="AX34"/>
  <c r="AX36"/>
  <c r="AX38" s="1"/>
  <c r="X38"/>
  <c r="Y38"/>
  <c r="BF38"/>
  <c r="AY38" i="8"/>
  <c r="C38"/>
  <c r="D38"/>
  <c r="E38"/>
  <c r="F38"/>
  <c r="G38"/>
  <c r="H38"/>
  <c r="I38"/>
  <c r="K38"/>
  <c r="L38"/>
  <c r="M38"/>
  <c r="N38"/>
  <c r="O38"/>
  <c r="P38"/>
  <c r="Q38"/>
  <c r="V38"/>
  <c r="W38"/>
  <c r="Y38"/>
  <c r="Z38"/>
  <c r="AA38"/>
  <c r="AB38"/>
  <c r="AC38"/>
  <c r="AD38"/>
  <c r="AH38"/>
  <c r="AI38"/>
  <c r="AJ38"/>
  <c r="AK38"/>
  <c r="AL38"/>
  <c r="AM38"/>
  <c r="AN38"/>
  <c r="AO38"/>
  <c r="AP38"/>
  <c r="AQ38"/>
  <c r="AR38"/>
  <c r="AS38"/>
  <c r="AU38"/>
  <c r="AX38"/>
  <c r="AV39"/>
  <c r="AZ39"/>
  <c r="AW39"/>
  <c r="AV6" i="7"/>
  <c r="AZ6" s="1"/>
  <c r="AW6"/>
  <c r="BA6" s="1"/>
  <c r="AV7"/>
  <c r="AZ7" s="1"/>
  <c r="AW7"/>
  <c r="BA7" s="1"/>
  <c r="AV8"/>
  <c r="AZ8" s="1"/>
  <c r="AW8"/>
  <c r="BA8" s="1"/>
  <c r="B9"/>
  <c r="B12" s="1"/>
  <c r="C9"/>
  <c r="C12" s="1"/>
  <c r="C14" s="1"/>
  <c r="D9"/>
  <c r="D12" s="1"/>
  <c r="D14" s="1"/>
  <c r="E9"/>
  <c r="E12" s="1"/>
  <c r="E14" s="1"/>
  <c r="F9"/>
  <c r="F12" s="1"/>
  <c r="F14" s="1"/>
  <c r="G9"/>
  <c r="G12" s="1"/>
  <c r="G14" s="1"/>
  <c r="H9"/>
  <c r="H12" s="1"/>
  <c r="H14" s="1"/>
  <c r="I9"/>
  <c r="I12" s="1"/>
  <c r="I14" s="1"/>
  <c r="J9"/>
  <c r="J12" s="1"/>
  <c r="J14" s="1"/>
  <c r="K9"/>
  <c r="K12" s="1"/>
  <c r="K14" s="1"/>
  <c r="L9"/>
  <c r="L12" s="1"/>
  <c r="L14" s="1"/>
  <c r="M9"/>
  <c r="N9"/>
  <c r="N12" s="1"/>
  <c r="N14" s="1"/>
  <c r="O9"/>
  <c r="O12" s="1"/>
  <c r="O14" s="1"/>
  <c r="P9"/>
  <c r="P12" s="1"/>
  <c r="P14" s="1"/>
  <c r="Q9"/>
  <c r="Q12" s="1"/>
  <c r="Q14" s="1"/>
  <c r="R9"/>
  <c r="R12" s="1"/>
  <c r="R14" s="1"/>
  <c r="S9"/>
  <c r="S12" s="1"/>
  <c r="S14" s="1"/>
  <c r="T9"/>
  <c r="T12" s="1"/>
  <c r="T14" s="1"/>
  <c r="U9"/>
  <c r="U12" s="1"/>
  <c r="U14" s="1"/>
  <c r="V9"/>
  <c r="V12" s="1"/>
  <c r="V14" s="1"/>
  <c r="W9"/>
  <c r="W12" s="1"/>
  <c r="W14" s="1"/>
  <c r="X9"/>
  <c r="X12" s="1"/>
  <c r="X14" s="1"/>
  <c r="Y9"/>
  <c r="Y12" s="1"/>
  <c r="Y14" s="1"/>
  <c r="Z9"/>
  <c r="Z12" s="1"/>
  <c r="Z14" s="1"/>
  <c r="AA9"/>
  <c r="AA12" s="1"/>
  <c r="AA14" s="1"/>
  <c r="AB9"/>
  <c r="AB12" s="1"/>
  <c r="AB14" s="1"/>
  <c r="AC9"/>
  <c r="AC12" s="1"/>
  <c r="AC14" s="1"/>
  <c r="AD9"/>
  <c r="AD12" s="1"/>
  <c r="AD14" s="1"/>
  <c r="AE9"/>
  <c r="AF9"/>
  <c r="AF12" s="1"/>
  <c r="AF14" s="1"/>
  <c r="AG9"/>
  <c r="AG12" s="1"/>
  <c r="AG14" s="1"/>
  <c r="AH9"/>
  <c r="AH12" s="1"/>
  <c r="AH14" s="1"/>
  <c r="AJ9"/>
  <c r="AJ12" s="1"/>
  <c r="AJ14" s="1"/>
  <c r="AK9"/>
  <c r="AK12" s="1"/>
  <c r="AK14" s="1"/>
  <c r="AL9"/>
  <c r="AN9"/>
  <c r="AN12" s="1"/>
  <c r="AN14" s="1"/>
  <c r="AO9"/>
  <c r="AO12" s="1"/>
  <c r="AO14" s="1"/>
  <c r="AP9"/>
  <c r="AP12" s="1"/>
  <c r="AP14" s="1"/>
  <c r="AQ9"/>
  <c r="AQ12" s="1"/>
  <c r="AQ14" s="1"/>
  <c r="AR9"/>
  <c r="AR12" s="1"/>
  <c r="AR14" s="1"/>
  <c r="AS9"/>
  <c r="AT9"/>
  <c r="AU9"/>
  <c r="AU12" s="1"/>
  <c r="AX9"/>
  <c r="AX12" s="1"/>
  <c r="AY9"/>
  <c r="AV10"/>
  <c r="AZ10" s="1"/>
  <c r="AW10"/>
  <c r="BA10" s="1"/>
  <c r="AV11"/>
  <c r="AZ11" s="1"/>
  <c r="AW11"/>
  <c r="BA11" s="1"/>
  <c r="AI12"/>
  <c r="AI14" s="1"/>
  <c r="M14"/>
  <c r="AL14"/>
  <c r="AM14"/>
  <c r="AS14"/>
  <c r="AT14"/>
  <c r="AV15"/>
  <c r="AZ15"/>
  <c r="AW15"/>
  <c r="BA15"/>
  <c r="AV16"/>
  <c r="AZ16"/>
  <c r="AW16"/>
  <c r="BA16"/>
  <c r="AV17"/>
  <c r="AZ17" s="1"/>
  <c r="AW17"/>
  <c r="BA17" s="1"/>
  <c r="AV18"/>
  <c r="AZ18" s="1"/>
  <c r="AW18"/>
  <c r="BA18" s="1"/>
  <c r="AV19"/>
  <c r="AZ19" s="1"/>
  <c r="AW19"/>
  <c r="BA19" s="1"/>
  <c r="AV20"/>
  <c r="AZ20" s="1"/>
  <c r="AW20"/>
  <c r="BA20" s="1"/>
  <c r="AV21"/>
  <c r="AZ21" s="1"/>
  <c r="AW21"/>
  <c r="BA21" s="1"/>
  <c r="AV22"/>
  <c r="AZ22" s="1"/>
  <c r="AW22"/>
  <c r="BA22" s="1"/>
  <c r="AV23"/>
  <c r="AZ23" s="1"/>
  <c r="AW23"/>
  <c r="BA23" s="1"/>
  <c r="AV24"/>
  <c r="AZ24" s="1"/>
  <c r="AW24"/>
  <c r="BA24" s="1"/>
  <c r="AV25"/>
  <c r="AZ25" s="1"/>
  <c r="AW25"/>
  <c r="BA25" s="1"/>
  <c r="AV27"/>
  <c r="AZ27" s="1"/>
  <c r="BA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X28"/>
  <c r="AY28"/>
  <c r="AV7" i="5"/>
  <c r="AZ7" s="1"/>
  <c r="AW7"/>
  <c r="BA7" s="1"/>
  <c r="AV8"/>
  <c r="AZ8" s="1"/>
  <c r="AW8"/>
  <c r="BA8" s="1"/>
  <c r="AV9"/>
  <c r="AZ9" s="1"/>
  <c r="AW9"/>
  <c r="BA9" s="1"/>
  <c r="B10"/>
  <c r="B14" s="1"/>
  <c r="C10"/>
  <c r="C14" s="1"/>
  <c r="D10"/>
  <c r="D14" s="1"/>
  <c r="E10"/>
  <c r="E12" s="1"/>
  <c r="F10"/>
  <c r="F14" s="1"/>
  <c r="G10"/>
  <c r="G12" s="1"/>
  <c r="H10"/>
  <c r="H14" s="1"/>
  <c r="I10"/>
  <c r="I14" s="1"/>
  <c r="J10"/>
  <c r="J12" s="1"/>
  <c r="K10"/>
  <c r="K12" s="1"/>
  <c r="L10"/>
  <c r="L12" s="1"/>
  <c r="M10"/>
  <c r="M14" s="1"/>
  <c r="N10"/>
  <c r="N12" s="1"/>
  <c r="O10"/>
  <c r="O12" s="1"/>
  <c r="P10"/>
  <c r="P14" s="1"/>
  <c r="Q10"/>
  <c r="Q14" s="1"/>
  <c r="R10"/>
  <c r="R12" s="1"/>
  <c r="S10"/>
  <c r="S12" s="1"/>
  <c r="T10"/>
  <c r="T12" s="1"/>
  <c r="U10"/>
  <c r="U14" s="1"/>
  <c r="V10"/>
  <c r="V12" s="1"/>
  <c r="W10"/>
  <c r="W12" s="1"/>
  <c r="X10"/>
  <c r="X14" s="1"/>
  <c r="Y10"/>
  <c r="Y14" s="1"/>
  <c r="Z10"/>
  <c r="Z14" s="1"/>
  <c r="AA10"/>
  <c r="AA12" s="1"/>
  <c r="AB10"/>
  <c r="AB12" s="1"/>
  <c r="AC10"/>
  <c r="AC14" s="1"/>
  <c r="AD10"/>
  <c r="AD12" s="1"/>
  <c r="AE10"/>
  <c r="AF10"/>
  <c r="AF12" s="1"/>
  <c r="AG10"/>
  <c r="AG14" s="1"/>
  <c r="AH10"/>
  <c r="AH12" s="1"/>
  <c r="AI10"/>
  <c r="AI12" s="1"/>
  <c r="AJ10"/>
  <c r="AJ12" s="1"/>
  <c r="AK10"/>
  <c r="AK12" s="1"/>
  <c r="AL10"/>
  <c r="AL14" s="1"/>
  <c r="AM10"/>
  <c r="AM12" s="1"/>
  <c r="AN10"/>
  <c r="AN12" s="1"/>
  <c r="AO10"/>
  <c r="AO14" s="1"/>
  <c r="AP10"/>
  <c r="AP14" s="1"/>
  <c r="AQ10"/>
  <c r="AR10"/>
  <c r="AR12" s="1"/>
  <c r="AS10"/>
  <c r="AS12" s="1"/>
  <c r="AT10"/>
  <c r="AT12" s="1"/>
  <c r="AU10"/>
  <c r="AU14" s="1"/>
  <c r="AX10"/>
  <c r="AX12" s="1"/>
  <c r="AY10"/>
  <c r="AY14" s="1"/>
  <c r="AV6" i="27"/>
  <c r="AZ6" s="1"/>
  <c r="AW6"/>
  <c r="BA6" s="1"/>
  <c r="AV7"/>
  <c r="AZ7" s="1"/>
  <c r="AW7"/>
  <c r="BA7" s="1"/>
  <c r="AV8"/>
  <c r="AZ8" s="1"/>
  <c r="AW8"/>
  <c r="BA8" s="1"/>
  <c r="C10"/>
  <c r="E10"/>
  <c r="F10"/>
  <c r="G10"/>
  <c r="I10"/>
  <c r="K10"/>
  <c r="M10"/>
  <c r="O10"/>
  <c r="Q10"/>
  <c r="S10"/>
  <c r="U10"/>
  <c r="W10"/>
  <c r="Y10"/>
  <c r="AA10"/>
  <c r="AC10"/>
  <c r="AG10"/>
  <c r="AK10"/>
  <c r="AL10"/>
  <c r="AM10"/>
  <c r="AO10"/>
  <c r="AQ10"/>
  <c r="AS10"/>
  <c r="AU10"/>
  <c r="AX10"/>
  <c r="AY10"/>
  <c r="AV11"/>
  <c r="AZ11" s="1"/>
  <c r="AW11"/>
  <c r="BA11" s="1"/>
  <c r="AV12"/>
  <c r="AZ12" s="1"/>
  <c r="AW12"/>
  <c r="BA12" s="1"/>
  <c r="AV13"/>
  <c r="AZ13" s="1"/>
  <c r="AW13"/>
  <c r="BA13" s="1"/>
  <c r="AW14"/>
  <c r="BA14" s="1"/>
  <c r="AV15"/>
  <c r="AZ15" s="1"/>
  <c r="AW15"/>
  <c r="BA15" s="1"/>
  <c r="AV16"/>
  <c r="AZ16" s="1"/>
  <c r="AW16"/>
  <c r="BA16" s="1"/>
  <c r="AV17"/>
  <c r="AZ17" s="1"/>
  <c r="AW17"/>
  <c r="BA17" s="1"/>
  <c r="AV18"/>
  <c r="AZ18" s="1"/>
  <c r="AW18"/>
  <c r="BA18" s="1"/>
  <c r="AV19"/>
  <c r="AZ19" s="1"/>
  <c r="AW19"/>
  <c r="BA19" s="1"/>
  <c r="AV20"/>
  <c r="AZ20" s="1"/>
  <c r="AW20"/>
  <c r="BA20" s="1"/>
  <c r="AV21"/>
  <c r="AZ21" s="1"/>
  <c r="AW21"/>
  <c r="BA21" s="1"/>
  <c r="AV22"/>
  <c r="AZ22" s="1"/>
  <c r="AW22"/>
  <c r="BA22" s="1"/>
  <c r="AV24"/>
  <c r="AZ24" s="1"/>
  <c r="AW24"/>
  <c r="BA24" s="1"/>
  <c r="AV25"/>
  <c r="AZ25" s="1"/>
  <c r="AW25"/>
  <c r="BA25" s="1"/>
  <c r="AV28"/>
  <c r="AZ28" s="1"/>
  <c r="AW28"/>
  <c r="BA28" s="1"/>
  <c r="AV29"/>
  <c r="AZ29" s="1"/>
  <c r="AW29"/>
  <c r="BA29" s="1"/>
  <c r="AV30"/>
  <c r="AZ30" s="1"/>
  <c r="AW30"/>
  <c r="BA30" s="1"/>
  <c r="AW31"/>
  <c r="BA31" s="1"/>
  <c r="AV32"/>
  <c r="AZ32" s="1"/>
  <c r="AW32"/>
  <c r="BA32" s="1"/>
  <c r="AV33"/>
  <c r="AZ33" s="1"/>
  <c r="AW33"/>
  <c r="BA33" s="1"/>
  <c r="AV34"/>
  <c r="AZ34" s="1"/>
  <c r="AW34"/>
  <c r="BA34" s="1"/>
  <c r="AV35"/>
  <c r="AZ35" s="1"/>
  <c r="AW35"/>
  <c r="BA35" s="1"/>
  <c r="AV36"/>
  <c r="AZ36" s="1"/>
  <c r="AW36"/>
  <c r="BA36" s="1"/>
  <c r="AV37"/>
  <c r="AZ37" s="1"/>
  <c r="AW37"/>
  <c r="BA37" s="1"/>
  <c r="AV38"/>
  <c r="AZ38" s="1"/>
  <c r="AW38"/>
  <c r="BA38" s="1"/>
  <c r="AV39"/>
  <c r="AZ39" s="1"/>
  <c r="AW39"/>
  <c r="BA39" s="1"/>
  <c r="AV40"/>
  <c r="AZ40" s="1"/>
  <c r="AW40"/>
  <c r="BA40" s="1"/>
  <c r="AV41"/>
  <c r="AZ41" s="1"/>
  <c r="AW41"/>
  <c r="BA41" s="1"/>
  <c r="AV42"/>
  <c r="AZ42" s="1"/>
  <c r="AW42"/>
  <c r="BA42" s="1"/>
  <c r="AV43"/>
  <c r="AZ43" s="1"/>
  <c r="AW43"/>
  <c r="BA43" s="1"/>
  <c r="AV44"/>
  <c r="AZ44" s="1"/>
  <c r="AW44"/>
  <c r="BA44" s="1"/>
  <c r="AV45"/>
  <c r="AZ45" s="1"/>
  <c r="AW45"/>
  <c r="BA45" s="1"/>
  <c r="AV46"/>
  <c r="AZ46" s="1"/>
  <c r="AW46"/>
  <c r="BA46" s="1"/>
  <c r="C47"/>
  <c r="E47"/>
  <c r="F47"/>
  <c r="G47"/>
  <c r="I47"/>
  <c r="K47"/>
  <c r="K51" s="1"/>
  <c r="M47"/>
  <c r="O47"/>
  <c r="Q47"/>
  <c r="S47"/>
  <c r="U47"/>
  <c r="AA47"/>
  <c r="AC47"/>
  <c r="AE47"/>
  <c r="AZ47"/>
  <c r="BA47"/>
  <c r="AV48"/>
  <c r="AZ48" s="1"/>
  <c r="AW48"/>
  <c r="BA48" s="1"/>
  <c r="AV49"/>
  <c r="AZ49" s="1"/>
  <c r="AW49"/>
  <c r="BA49" s="1"/>
  <c r="C50"/>
  <c r="E50"/>
  <c r="F50"/>
  <c r="G50"/>
  <c r="I50"/>
  <c r="M50"/>
  <c r="O50"/>
  <c r="Q50"/>
  <c r="S50"/>
  <c r="U50"/>
  <c r="Y50"/>
  <c r="Y51" s="1"/>
  <c r="AA50"/>
  <c r="AC50"/>
  <c r="AE50"/>
  <c r="AS50"/>
  <c r="AS51" s="1"/>
  <c r="AU50"/>
  <c r="AU51" s="1"/>
  <c r="AY50"/>
  <c r="AY51"/>
  <c r="AL51"/>
  <c r="AM51"/>
  <c r="AV52"/>
  <c r="AZ52" s="1"/>
  <c r="AW52"/>
  <c r="BA52" s="1"/>
  <c r="AV53"/>
  <c r="AZ53" s="1"/>
  <c r="AW53"/>
  <c r="BA53" s="1"/>
  <c r="AV54"/>
  <c r="AZ54" s="1"/>
  <c r="AW54"/>
  <c r="BA54" s="1"/>
  <c r="AV55"/>
  <c r="AZ55" s="1"/>
  <c r="AW55"/>
  <c r="BA55" s="1"/>
  <c r="AV56"/>
  <c r="AZ56" s="1"/>
  <c r="AW56"/>
  <c r="BA56" s="1"/>
  <c r="AV57"/>
  <c r="AZ57" s="1"/>
  <c r="AW57"/>
  <c r="BA57" s="1"/>
  <c r="AV58"/>
  <c r="AZ58" s="1"/>
  <c r="AW58"/>
  <c r="BA58" s="1"/>
  <c r="AV59"/>
  <c r="AZ59" s="1"/>
  <c r="AW59"/>
  <c r="BA59" s="1"/>
  <c r="AW60"/>
  <c r="BA60" s="1"/>
  <c r="AV61"/>
  <c r="AZ61" s="1"/>
  <c r="AW61"/>
  <c r="BA61" s="1"/>
  <c r="AV62"/>
  <c r="AZ62" s="1"/>
  <c r="AW62"/>
  <c r="BA62" s="1"/>
  <c r="AV63"/>
  <c r="AZ63" s="1"/>
  <c r="AW63"/>
  <c r="BA63" s="1"/>
  <c r="AV64"/>
  <c r="AZ64" s="1"/>
  <c r="AW64"/>
  <c r="BA64" s="1"/>
  <c r="AV65"/>
  <c r="AZ65" s="1"/>
  <c r="AW65"/>
  <c r="BA65" s="1"/>
  <c r="AV67"/>
  <c r="AZ67" s="1"/>
  <c r="AW67"/>
  <c r="BA67" s="1"/>
  <c r="AV5" i="11"/>
  <c r="AZ5" s="1"/>
  <c r="AW5"/>
  <c r="BA5" s="1"/>
  <c r="AV6"/>
  <c r="AZ6" s="1"/>
  <c r="AW6"/>
  <c r="BA6" s="1"/>
  <c r="AV7"/>
  <c r="AZ7" s="1"/>
  <c r="AW7"/>
  <c r="BA7" s="1"/>
  <c r="AV8"/>
  <c r="AZ8" s="1"/>
  <c r="AW8"/>
  <c r="BA8" s="1"/>
  <c r="AV9"/>
  <c r="AZ9" s="1"/>
  <c r="AW9"/>
  <c r="BA9" s="1"/>
  <c r="AV10"/>
  <c r="AZ10" s="1"/>
  <c r="AW10"/>
  <c r="BA10" s="1"/>
  <c r="AV12"/>
  <c r="AZ12" s="1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Z13"/>
  <c r="AB13"/>
  <c r="AC13"/>
  <c r="AD13"/>
  <c r="AE13"/>
  <c r="AF13"/>
  <c r="AG13"/>
  <c r="AH13"/>
  <c r="AI13"/>
  <c r="AJ13"/>
  <c r="AK13"/>
  <c r="AL13"/>
  <c r="AM13"/>
  <c r="AN13"/>
  <c r="AP13"/>
  <c r="AR13"/>
  <c r="AS13"/>
  <c r="AT13"/>
  <c r="AU13"/>
  <c r="AX13"/>
  <c r="AY13"/>
  <c r="B27"/>
  <c r="AV14"/>
  <c r="AZ14" s="1"/>
  <c r="H27"/>
  <c r="V27"/>
  <c r="AD27"/>
  <c r="AW14"/>
  <c r="AV15"/>
  <c r="AZ15" s="1"/>
  <c r="AW15"/>
  <c r="BA15" s="1"/>
  <c r="AV16"/>
  <c r="AZ16" s="1"/>
  <c r="AW16"/>
  <c r="BA16" s="1"/>
  <c r="AV17"/>
  <c r="AZ17" s="1"/>
  <c r="AW17"/>
  <c r="BA17" s="1"/>
  <c r="AV18"/>
  <c r="AZ18" s="1"/>
  <c r="AW18"/>
  <c r="BA18" s="1"/>
  <c r="AW19"/>
  <c r="BA19" s="1"/>
  <c r="AV19"/>
  <c r="AZ19" s="1"/>
  <c r="AV20"/>
  <c r="AZ20" s="1"/>
  <c r="AW20"/>
  <c r="BA20" s="1"/>
  <c r="AV21"/>
  <c r="AZ21" s="1"/>
  <c r="AW21"/>
  <c r="BA21" s="1"/>
  <c r="AV22"/>
  <c r="AZ22" s="1"/>
  <c r="M27"/>
  <c r="AS27"/>
  <c r="AV23"/>
  <c r="AZ23" s="1"/>
  <c r="AW23"/>
  <c r="BA23" s="1"/>
  <c r="AV24"/>
  <c r="AZ24" s="1"/>
  <c r="AW24"/>
  <c r="BA24" s="1"/>
  <c r="AV25"/>
  <c r="AZ25" s="1"/>
  <c r="AW25"/>
  <c r="BA25" s="1"/>
  <c r="C27"/>
  <c r="D27"/>
  <c r="E27"/>
  <c r="F27"/>
  <c r="G27"/>
  <c r="I27"/>
  <c r="J27"/>
  <c r="K27"/>
  <c r="O27"/>
  <c r="P27"/>
  <c r="Q27"/>
  <c r="R27"/>
  <c r="S27"/>
  <c r="T27"/>
  <c r="U27"/>
  <c r="W27"/>
  <c r="AB27"/>
  <c r="AC27"/>
  <c r="AE27"/>
  <c r="AF27"/>
  <c r="AI27"/>
  <c r="AK27"/>
  <c r="AL27"/>
  <c r="AM27"/>
  <c r="AN27"/>
  <c r="AO27"/>
  <c r="AP27"/>
  <c r="AQ27"/>
  <c r="AX27"/>
  <c r="AY27"/>
  <c r="AV28"/>
  <c r="AZ28" s="1"/>
  <c r="AW28"/>
  <c r="BA28" s="1"/>
  <c r="AV29"/>
  <c r="AZ29" s="1"/>
  <c r="AW29"/>
  <c r="BA29" s="1"/>
  <c r="AV31"/>
  <c r="AZ31" s="1"/>
  <c r="AW31"/>
  <c r="BA31" s="1"/>
  <c r="AV32"/>
  <c r="AZ32"/>
  <c r="AW32"/>
  <c r="BA32" s="1"/>
  <c r="AW33"/>
  <c r="BA33" s="1"/>
  <c r="J33"/>
  <c r="T33"/>
  <c r="U41"/>
  <c r="AV34"/>
  <c r="AZ34" s="1"/>
  <c r="AW34"/>
  <c r="BA34" s="1"/>
  <c r="AV35"/>
  <c r="AZ35" s="1"/>
  <c r="AW35"/>
  <c r="BA35" s="1"/>
  <c r="AV36"/>
  <c r="AZ36"/>
  <c r="AW36"/>
  <c r="BA36" s="1"/>
  <c r="AV37"/>
  <c r="AZ37" s="1"/>
  <c r="AW37"/>
  <c r="BA37" s="1"/>
  <c r="AV38"/>
  <c r="AZ38"/>
  <c r="AW38"/>
  <c r="BA38" s="1"/>
  <c r="AV39"/>
  <c r="AZ39" s="1"/>
  <c r="AW39"/>
  <c r="BA39" s="1"/>
  <c r="B41"/>
  <c r="D41"/>
  <c r="F41"/>
  <c r="K41"/>
  <c r="L41"/>
  <c r="M41"/>
  <c r="N41"/>
  <c r="P41"/>
  <c r="Q41"/>
  <c r="R41"/>
  <c r="S41"/>
  <c r="V41"/>
  <c r="Z41"/>
  <c r="AA41"/>
  <c r="AC41"/>
  <c r="AD41"/>
  <c r="AF41"/>
  <c r="AJ41"/>
  <c r="AK41"/>
  <c r="AL41"/>
  <c r="AM41"/>
  <c r="AN41"/>
  <c r="AO41"/>
  <c r="AY41"/>
  <c r="C8" i="19"/>
  <c r="D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J8"/>
  <c r="AK8"/>
  <c r="AL8"/>
  <c r="AM8"/>
  <c r="AN8"/>
  <c r="AO8"/>
  <c r="AP8"/>
  <c r="AQ8"/>
  <c r="AR8"/>
  <c r="AS8"/>
  <c r="AT8"/>
  <c r="AU8"/>
  <c r="AV8"/>
  <c r="AW8"/>
  <c r="AX8"/>
  <c r="AE19"/>
  <c r="C56"/>
  <c r="AE56"/>
  <c r="AK56"/>
  <c r="AM56"/>
  <c r="AN56"/>
  <c r="AO56"/>
  <c r="AU56"/>
  <c r="AW56"/>
  <c r="AE14" i="22"/>
  <c r="AW12" i="11"/>
  <c r="BA12" s="1"/>
  <c r="AA13"/>
  <c r="G41"/>
  <c r="AW22"/>
  <c r="BA22" s="1"/>
  <c r="AE10" i="27"/>
  <c r="I34" i="6"/>
  <c r="I36" s="1"/>
  <c r="I38" s="1"/>
  <c r="AV11" i="2"/>
  <c r="AZ11"/>
  <c r="X22" i="29"/>
  <c r="X25" s="1"/>
  <c r="X32" s="1"/>
  <c r="R14" i="5"/>
  <c r="I12"/>
  <c r="AE12" i="7"/>
  <c r="AE14" s="1"/>
  <c r="AV18" i="4"/>
  <c r="AZ18" s="1"/>
  <c r="AW5" i="27"/>
  <c r="BA5" s="1"/>
  <c r="AG14" i="22"/>
  <c r="AW5"/>
  <c r="BA5" s="1"/>
  <c r="AG38" i="8"/>
  <c r="AF38"/>
  <c r="S38"/>
  <c r="AG27" i="11"/>
  <c r="AQ14" i="5"/>
  <c r="AQ12"/>
  <c r="AJ14"/>
  <c r="AJ27" i="11"/>
  <c r="AT38" i="8"/>
  <c r="AV66" i="27"/>
  <c r="AZ66" s="1"/>
  <c r="AW66"/>
  <c r="BA66" s="1"/>
  <c r="AE12" i="5"/>
  <c r="AE14"/>
  <c r="AS14"/>
  <c r="AR14"/>
  <c r="Z12"/>
  <c r="AU34" i="6"/>
  <c r="AU36" s="1"/>
  <c r="AZ25"/>
  <c r="AZ28"/>
  <c r="AZ37"/>
  <c r="AZ29"/>
  <c r="AZ33"/>
  <c r="AZ9"/>
  <c r="AZ23"/>
  <c r="AZ31"/>
  <c r="AZ16"/>
  <c r="AZ30"/>
  <c r="AZ26"/>
  <c r="AZ35"/>
  <c r="AZ32"/>
  <c r="AZ21"/>
  <c r="AZ19"/>
  <c r="AD51" i="27" l="1"/>
  <c r="AV50"/>
  <c r="AZ50" s="1"/>
  <c r="Z51"/>
  <c r="T51"/>
  <c r="N51"/>
  <c r="J51"/>
  <c r="AV33" i="11"/>
  <c r="AZ33" s="1"/>
  <c r="AZ41" s="1"/>
  <c r="E51" i="27"/>
  <c r="AO12" i="5"/>
  <c r="Y12"/>
  <c r="X38" i="8"/>
  <c r="AG12" i="5"/>
  <c r="L27" i="11"/>
  <c r="AV27" s="1"/>
  <c r="AZ27" s="1"/>
  <c r="G51" i="27"/>
  <c r="O14" i="5"/>
  <c r="O51" i="27"/>
  <c r="AV22" i="6"/>
  <c r="AZ22" s="1"/>
  <c r="AU12" i="5"/>
  <c r="AC51" i="27"/>
  <c r="I51"/>
  <c r="AL12" i="5"/>
  <c r="AV36" i="8"/>
  <c r="AZ36" s="1"/>
  <c r="R51" i="27"/>
  <c r="L51"/>
  <c r="AV13" i="11"/>
  <c r="AZ13" s="1"/>
  <c r="AV41"/>
  <c r="AH14" i="5"/>
  <c r="AF14"/>
  <c r="AD14"/>
  <c r="X12"/>
  <c r="S14"/>
  <c r="N14"/>
  <c r="L14"/>
  <c r="J14"/>
  <c r="H12"/>
  <c r="B12"/>
  <c r="C12"/>
  <c r="F12"/>
  <c r="AV28" i="7"/>
  <c r="AZ28" s="1"/>
  <c r="D12" i="5"/>
  <c r="B14" i="7"/>
  <c r="AV12"/>
  <c r="AZ12" s="1"/>
  <c r="AV20" i="4"/>
  <c r="AZ20" s="1"/>
  <c r="P12" i="5"/>
  <c r="AV10"/>
  <c r="AZ10" s="1"/>
  <c r="AA51" i="27"/>
  <c r="AX14" i="5"/>
  <c r="AB14"/>
  <c r="AT34" i="6"/>
  <c r="AT36" s="1"/>
  <c r="AT38" s="1"/>
  <c r="U12" i="5"/>
  <c r="G14"/>
  <c r="AT14"/>
  <c r="V14"/>
  <c r="AY12"/>
  <c r="AV14" i="2"/>
  <c r="AZ14" s="1"/>
  <c r="AP12" i="5"/>
  <c r="AN14"/>
  <c r="T14"/>
  <c r="M12"/>
  <c r="B38" i="6"/>
  <c r="AV9" i="7"/>
  <c r="AZ9" s="1"/>
  <c r="S51" i="27"/>
  <c r="AE51"/>
  <c r="AM14" i="5"/>
  <c r="J38" i="8"/>
  <c r="K14" i="5"/>
  <c r="E14"/>
  <c r="C51" i="27"/>
  <c r="AC12" i="5"/>
  <c r="Q12"/>
  <c r="AV23" i="27"/>
  <c r="AZ23" s="1"/>
  <c r="P51"/>
  <c r="H51"/>
  <c r="AB51"/>
  <c r="R38" i="8"/>
  <c r="B51" i="27"/>
  <c r="AV14" i="1"/>
  <c r="AZ14" s="1"/>
  <c r="AV18" i="3"/>
  <c r="AZ18" s="1"/>
  <c r="D20"/>
  <c r="AV20" s="1"/>
  <c r="AZ20" s="1"/>
  <c r="AV12" i="1"/>
  <c r="AZ12" s="1"/>
  <c r="AV12" i="2"/>
  <c r="AZ12" s="1"/>
  <c r="AW13" i="11"/>
  <c r="AW27"/>
  <c r="AW41"/>
  <c r="BA41"/>
  <c r="U51" i="27"/>
  <c r="Q51"/>
  <c r="AW50"/>
  <c r="BA50" s="1"/>
  <c r="M51"/>
  <c r="AV10"/>
  <c r="AZ10" s="1"/>
  <c r="AW10"/>
  <c r="BA10" s="1"/>
  <c r="W14" i="5"/>
  <c r="AA14"/>
  <c r="AI14"/>
  <c r="AK14"/>
  <c r="AW10"/>
  <c r="BA10" s="1"/>
  <c r="AW9" i="7"/>
  <c r="BA9" s="1"/>
  <c r="AW28"/>
  <c r="BA28" s="1"/>
  <c r="AU14"/>
  <c r="AW12"/>
  <c r="AY12"/>
  <c r="AW38" i="8"/>
  <c r="BA38" s="1"/>
  <c r="AW34" i="6"/>
  <c r="BA34" s="1"/>
  <c r="AW36"/>
  <c r="BA36" s="1"/>
  <c r="AU38"/>
  <c r="AW38" s="1"/>
  <c r="BA38" s="1"/>
  <c r="BE38" s="1"/>
  <c r="AW14" i="22"/>
  <c r="BA14" s="1"/>
  <c r="AW6"/>
  <c r="BA6" s="1"/>
  <c r="AV14"/>
  <c r="AZ14" s="1"/>
  <c r="T25" i="29"/>
  <c r="T32"/>
  <c r="T42" s="1"/>
  <c r="AT38"/>
  <c r="AV38" s="1"/>
  <c r="AV13"/>
  <c r="AZ13" s="1"/>
  <c r="AV19"/>
  <c r="AZ19" s="1"/>
  <c r="B42"/>
  <c r="R25"/>
  <c r="R32" s="1"/>
  <c r="R42" s="1"/>
  <c r="AZ22"/>
  <c r="AW18" i="3"/>
  <c r="BA18" s="1"/>
  <c r="AU20"/>
  <c r="AW20" s="1"/>
  <c r="BA20" s="1"/>
  <c r="AW18" i="4"/>
  <c r="BA18" s="1"/>
  <c r="AQ20"/>
  <c r="AW20" s="1"/>
  <c r="BA20" s="1"/>
  <c r="AW12" i="2"/>
  <c r="BA12" s="1"/>
  <c r="E14"/>
  <c r="AW14" s="1"/>
  <c r="BA14" s="1"/>
  <c r="AW12" i="1"/>
  <c r="BA12" s="1"/>
  <c r="AW14"/>
  <c r="BA14" s="1"/>
  <c r="F51" i="27"/>
  <c r="AV38" i="6" l="1"/>
  <c r="AZ38" s="1"/>
  <c r="AV38" i="8"/>
  <c r="AZ38" s="1"/>
  <c r="AV14" i="5"/>
  <c r="AZ14" s="1"/>
  <c r="AV12"/>
  <c r="AZ12" s="1"/>
  <c r="AW12"/>
  <c r="BA12" s="1"/>
  <c r="AV36" i="6"/>
  <c r="AZ36" s="1"/>
  <c r="AV51" i="27"/>
  <c r="AZ51" s="1"/>
  <c r="AV34" i="6"/>
  <c r="AZ34" s="1"/>
  <c r="AW51" i="27"/>
  <c r="BA51" s="1"/>
  <c r="AW14" i="5"/>
  <c r="BA14" s="1"/>
  <c r="BA12" i="7"/>
  <c r="AZ25" i="29"/>
  <c r="AV42"/>
  <c r="AZ42" s="1"/>
  <c r="AV32"/>
  <c r="AZ32" s="1"/>
</calcChain>
</file>

<file path=xl/sharedStrings.xml><?xml version="1.0" encoding="utf-8"?>
<sst xmlns="http://schemas.openxmlformats.org/spreadsheetml/2006/main" count="1503" uniqueCount="377">
  <si>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</si>
  <si>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</si>
  <si>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</si>
  <si>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</si>
  <si>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</si>
  <si>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</si>
  <si>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</si>
  <si>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</si>
  <si>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</si>
  <si>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</si>
  <si>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</si>
  <si>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</si>
  <si>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</si>
  <si>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</si>
  <si>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</si>
  <si>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</si>
  <si>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</si>
  <si>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</si>
  <si>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</si>
  <si>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</si>
  <si>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</si>
  <si>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</si>
  <si>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</si>
  <si>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</si>
  <si>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</si>
  <si>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</si>
  <si>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</si>
  <si>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</si>
  <si>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</si>
  <si>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</si>
  <si>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</si>
  <si>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</si>
  <si>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</si>
  <si>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</si>
  <si>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</si>
  <si>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</si>
  <si>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</si>
  <si>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</si>
  <si>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</si>
  <si>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</si>
  <si>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</si>
  <si>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</si>
  <si>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</si>
  <si>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</si>
  <si>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</si>
  <si>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</si>
  <si>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</si>
  <si>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</si>
  <si>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</si>
  <si>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</si>
  <si>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</si>
  <si>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</si>
  <si>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</si>
  <si>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</si>
  <si>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</si>
  <si>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</si>
  <si>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</si>
  <si>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</si>
  <si>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</si>
  <si>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</si>
  <si>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</si>
  <si>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</si>
  <si>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</si>
  <si>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</si>
  <si>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</si>
  <si>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</si>
  <si>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</si>
  <si>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</si>
  <si>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</si>
  <si>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</si>
  <si>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</si>
  <si>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</si>
  <si>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</si>
  <si>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</si>
  <si>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</si>
  <si>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</si>
  <si>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</si>
  <si>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</si>
  <si>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</si>
  <si>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</si>
  <si>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</si>
  <si>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</si>
  <si>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</si>
  <si>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</si>
  <si>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</si>
  <si>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</si>
  <si>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</si>
  <si>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</si>
  <si>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</si>
  <si>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</si>
  <si>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</si>
  <si>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</si>
  <si>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</si>
  <si>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</si>
  <si>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</si>
  <si>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</si>
  <si>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</si>
  <si>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</si>
  <si>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</si>
  <si>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</si>
  <si>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</si>
  <si>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</si>
  <si>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</si>
  <si>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</si>
  <si>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</si>
  <si>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</si>
  <si>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</si>
  <si>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</si>
  <si>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</si>
  <si>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</si>
  <si>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</si>
  <si>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</si>
  <si>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</si>
  <si>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</si>
  <si>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</si>
  <si>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</si>
  <si>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</si>
  <si>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</si>
  <si>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</si>
  <si>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</si>
  <si>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</si>
  <si>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</si>
  <si>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</si>
  <si>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</si>
  <si>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</si>
  <si>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</si>
  <si>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</si>
  <si>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</si>
  <si>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</si>
  <si>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</si>
  <si>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</si>
  <si>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</si>
  <si>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</si>
  <si>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</si>
  <si>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</si>
  <si>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r>
      <rPr>
        <sz val="9"/>
        <rFont val="Comic Sans MS"/>
        <family val="4"/>
      </rPr>
      <t>(b) Interim dividend paid during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</si>
  <si>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</si>
  <si>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</si>
  <si>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</si>
  <si>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</si>
  <si>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</si>
  <si>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</si>
  <si>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</si>
  <si>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</si>
  <si>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</si>
  <si>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</si>
  <si>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</si>
  <si>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</si>
  <si>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</si>
  <si>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</si>
  <si>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</si>
  <si>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</si>
  <si>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</si>
  <si>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</si>
  <si>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</si>
  <si>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</si>
  <si>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</si>
  <si>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</si>
  <si>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</si>
  <si>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</si>
  <si>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</si>
  <si>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</si>
  <si>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</si>
  <si>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</si>
  <si>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</si>
  <si>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</si>
  <si>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</si>
  <si>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</si>
  <si>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</si>
  <si>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</si>
  <si>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</si>
  <si>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</si>
  <si>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</si>
  <si>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</si>
  <si>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</si>
  <si>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</si>
  <si>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</si>
  <si>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</si>
  <si>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</si>
  <si>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</si>
  <si>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</si>
  <si>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</si>
  <si>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</si>
  <si>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</si>
  <si>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</si>
  <si>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</si>
  <si>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</si>
  <si>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</si>
  <si>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</si>
  <si>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</si>
  <si>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</si>
  <si>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</si>
  <si>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</si>
  <si>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</si>
  <si>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</si>
  <si>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</si>
  <si>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</si>
  <si>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</si>
  <si>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</si>
  <si>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</si>
  <si>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</si>
  <si>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</si>
  <si>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</si>
  <si>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</si>
  <si>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</si>
  <si>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</si>
  <si>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</si>
  <si>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</si>
  <si>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</si>
  <si>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</si>
  <si>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</si>
  <si>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</si>
  <si>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</si>
  <si>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</si>
  <si>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</si>
  <si>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</si>
  <si>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</si>
  <si>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</si>
  <si>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</si>
  <si>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</si>
  <si>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</si>
  <si>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</si>
  <si>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</si>
  <si>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</si>
  <si>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</si>
  <si>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</si>
  <si>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</si>
  <si>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</si>
  <si>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</si>
  <si>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</si>
  <si>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</si>
  <si>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</si>
  <si>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</si>
  <si>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</si>
  <si>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</si>
  <si>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</si>
  <si>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</si>
  <si>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</si>
  <si>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</si>
  <si>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</si>
  <si>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</si>
  <si>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</si>
  <si>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</si>
  <si>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</si>
  <si>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 xml:space="preserve">PNB MetLife India Insurance Company Limited </t>
  </si>
  <si>
    <t>Current Tax (Credit)/Charge</t>
  </si>
  <si>
    <t>Provision for current tax</t>
  </si>
  <si>
    <t>Total (E)</t>
  </si>
  <si>
    <t>(c)Others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</si>
  <si>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</si>
  <si>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</si>
  <si>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(h) Non Linked</t>
  </si>
  <si>
    <t>€ Transfer/Gain on revaluation/change in fair value</t>
  </si>
  <si>
    <t>Upto Q2 202021</t>
  </si>
  <si>
    <t>Upto Q2 2021</t>
  </si>
  <si>
    <t>Pramerica Life Insurance Company Limited</t>
  </si>
  <si>
    <t>Rewards &amp; Remuneration to Agents</t>
  </si>
  <si>
    <t>Total Commission and rewards &amp; remuneration</t>
  </si>
  <si>
    <t xml:space="preserve">Sahara India Life Insurance Company Limited </t>
  </si>
  <si>
    <t>AS at 30.09.2020</t>
  </si>
  <si>
    <t>L3-Balance Sheet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</si>
  <si>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</si>
  <si>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</si>
  <si>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</si>
  <si>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</si>
  <si>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</si>
  <si>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</si>
  <si>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</si>
  <si>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</si>
  <si>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</si>
  <si>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8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</si>
  <si>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</si>
  <si>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8"/>
        <color indexed="8"/>
        <rFont val="Comic Sans MS"/>
        <family val="4"/>
      </rPr>
      <t xml:space="preserve"> L10</t>
    </r>
  </si>
  <si>
    <t>Credit/(Debit) Fair Value Change Account (Net)</t>
  </si>
  <si>
    <t>Deffered Tax Liability</t>
  </si>
  <si>
    <t>Sub-Total</t>
  </si>
  <si>
    <r>
      <t xml:space="preserve">Borrowings </t>
    </r>
    <r>
      <rPr>
        <b/>
        <sz val="8"/>
        <color indexed="8"/>
        <rFont val="Comic Sans MS"/>
        <family val="4"/>
      </rPr>
      <t>L11</t>
    </r>
  </si>
  <si>
    <t>Policyholders' Funds:</t>
  </si>
  <si>
    <t>Revaluation Reserve-Investment Property</t>
  </si>
  <si>
    <t>Policy Liabilities</t>
  </si>
  <si>
    <t>Surplus on Policy Holder's  A/c</t>
  </si>
  <si>
    <t>Linked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</si>
  <si>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</si>
  <si>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</si>
  <si>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</si>
  <si>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</si>
  <si>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</si>
  <si>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</si>
  <si>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</si>
  <si>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</si>
  <si>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</si>
  <si>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</si>
  <si>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</si>
  <si>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</si>
  <si>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</si>
  <si>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</si>
  <si>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</si>
  <si>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</si>
  <si>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8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</si>
  <si>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8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</si>
  <si>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8"/>
        <color indexed="8"/>
        <rFont val="Comic Sans MS"/>
        <family val="4"/>
      </rPr>
      <t>L14</t>
    </r>
  </si>
  <si>
    <r>
      <t>Loans</t>
    </r>
    <r>
      <rPr>
        <b/>
        <sz val="8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</si>
  <si>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8"/>
        <color indexed="8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</si>
  <si>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</si>
  <si>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</si>
  <si>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8"/>
        <color indexed="8"/>
        <rFont val="Comic Sans MS"/>
        <family val="4"/>
      </rPr>
      <t>L17</t>
    </r>
  </si>
  <si>
    <t>Advances And Other Assets L18</t>
  </si>
  <si>
    <t>Sub-Total (A)</t>
  </si>
  <si>
    <r>
      <t xml:space="preserve">Current Liabilities </t>
    </r>
    <r>
      <rPr>
        <b/>
        <sz val="8"/>
        <color indexed="8"/>
        <rFont val="Comic Sans MS"/>
        <family val="4"/>
      </rPr>
      <t>L19</t>
    </r>
  </si>
  <si>
    <r>
      <t xml:space="preserve">Provisions </t>
    </r>
    <r>
      <rPr>
        <b/>
        <sz val="8"/>
        <color indexed="8"/>
        <rFont val="Comic Sans MS"/>
        <family val="4"/>
      </rPr>
      <t>L20</t>
    </r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</si>
  <si>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</si>
  <si>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</si>
  <si>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</si>
  <si>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</si>
  <si>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</si>
  <si>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</si>
  <si>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</si>
  <si>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</si>
  <si>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</si>
  <si>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</si>
  <si>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</si>
  <si>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</si>
  <si>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</si>
  <si>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</si>
  <si>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Audited as at 30th September 2020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</si>
  <si>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</si>
  <si>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</si>
  <si>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</si>
  <si>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</si>
  <si>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</si>
  <si>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</si>
  <si>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</si>
  <si>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</si>
  <si>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</si>
  <si>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Provision for Doubtful Debts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</si>
  <si>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</si>
  <si>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</si>
  <si>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</si>
  <si>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</si>
  <si>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</si>
  <si>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</si>
  <si>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</si>
  <si>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</si>
  <si>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</si>
  <si>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</si>
  <si>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</si>
  <si>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Provision for Standard Loans</t>
  </si>
  <si>
    <t>(b)  Non - standard loans less provisions</t>
  </si>
  <si>
    <t xml:space="preserve">        (bb)  Outside India</t>
  </si>
  <si>
    <t>Provision for Non Standard Loans</t>
  </si>
  <si>
    <t>MATURITY - WISE CLASSIFICATION</t>
  </si>
  <si>
    <t>(a)  Short Term</t>
  </si>
  <si>
    <t xml:space="preserve">        In India</t>
  </si>
  <si>
    <t xml:space="preserve">        Outside India</t>
  </si>
  <si>
    <t>Provision for Short Term</t>
  </si>
  <si>
    <t>(b)  Long Term</t>
  </si>
  <si>
    <t>Provision for Long Term</t>
  </si>
  <si>
    <t>As at 30th September,2020</t>
  </si>
  <si>
    <t>Upto Q2 2122</t>
  </si>
  <si>
    <t>AS at 30.09.2021</t>
  </si>
  <si>
    <t>As at 30th September,2021</t>
  </si>
  <si>
    <t>Audited as at 30th September 2021</t>
  </si>
  <si>
    <t>Upto Q2 202122</t>
  </si>
  <si>
    <t>Online (Through Company Website.</t>
  </si>
  <si>
    <t>Direct Business:</t>
  </si>
  <si>
    <t>Ageas Federal Life Insurance Company Limited</t>
  </si>
  <si>
    <t xml:space="preserve">Ageas Federal Life Insurance Company Limited </t>
  </si>
  <si>
    <t>(in Lakh)</t>
  </si>
  <si>
    <t>(in Lakhs)</t>
  </si>
  <si>
    <t>Form L-15-Loans Schedule  (` in Lakhs')</t>
  </si>
  <si>
    <t>Figures in 'Lakhs'</t>
  </si>
  <si>
    <t>Form L-11 -Borrowings Schedule  (Amount in 'Lakhs')</t>
  </si>
  <si>
    <t>L1:REVENUE ACCOUNT Figures in 'Lakhs'</t>
  </si>
  <si>
    <t>(Amount in 'Lakhs)</t>
  </si>
  <si>
    <t>671..47</t>
  </si>
  <si>
    <t>.</t>
  </si>
  <si>
    <t>Form L-10-Reserves and Surplus Schedule(Amount in 'Lakhs)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</si>
</sst>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#0"/>
  </numFmts>
  <fonts count="55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b/>
      <sz val="8"/>
      <color indexed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9"/>
      <color rgb="FF000000"/>
      <name val="Comic Sans MS"/>
      <family val="4"/>
    </font>
    <font>
      <b/>
      <sz val="8"/>
      <color theme="1"/>
      <name val="Comic Sans MS"/>
      <family val="4"/>
    </font>
    <font>
      <sz val="8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9"/>
      <color rgb="FFFF0000"/>
      <name val="Comic Sans MS"/>
      <family val="4"/>
    </font>
    <font>
      <sz val="10"/>
      <color rgb="FF000000"/>
      <name val="Comic Sans MS"/>
      <family val="4"/>
    </font>
    <font>
      <sz val="8"/>
      <color rgb="FFFF0000"/>
      <name val="Comic Sans MS"/>
      <family val="4"/>
    </font>
    <font>
      <b/>
      <sz val="14"/>
      <color theme="1"/>
      <name val="Comic Sans MS"/>
      <family val="4"/>
    </font>
    <font>
      <b/>
      <sz val="11"/>
      <color theme="1"/>
      <name val="Comic Sans MS"/>
      <family val="4"/>
    </font>
    <font>
      <i/>
      <sz val="8"/>
      <color rgb="FF000000"/>
      <name val="Comic Sans MS"/>
      <family val="4"/>
    </font>
    <font>
      <sz val="11"/>
      <color rgb="FFFF0000"/>
      <name val="Comic Sans MS"/>
      <family val="4"/>
    </font>
    <font>
      <b/>
      <i/>
      <sz val="9"/>
      <color theme="8"/>
      <name val="Comic Sans MS"/>
      <family val="4"/>
    </font>
    <font>
      <b/>
      <sz val="10"/>
      <color theme="1"/>
      <name val="Arial"/>
      <family val="2"/>
    </font>
    <font>
      <sz val="11"/>
      <color rgb="FF002060"/>
      <name val="Comic Sans MS"/>
      <family val="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88">
    <xf numFmtId="0" fontId="0" fillId="0" borderId="0" xfId="0"/>
    <xf numFmtId="2" fontId="13" fillId="0" borderId="1" xfId="0" applyNumberFormat="1" applyFont="1" applyBorder="1" applyAlignment="1">
      <alignment horizontal="left"/>
    </xf>
    <xf numFmtId="2" fontId="13" fillId="0" borderId="2" xfId="0" applyNumberFormat="1" applyFont="1" applyBorder="1" applyAlignment="1">
      <alignment horizontal="left"/>
    </xf>
    <xf numFmtId="2" fontId="13" fillId="0" borderId="3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1" fontId="14" fillId="0" borderId="1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3" fontId="15" fillId="0" borderId="4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2" fontId="13" fillId="0" borderId="4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1" fontId="13" fillId="0" borderId="3" xfId="0" applyNumberFormat="1" applyFont="1" applyBorder="1" applyAlignment="1">
      <alignment horizontal="left"/>
    </xf>
    <xf numFmtId="1" fontId="13" fillId="0" borderId="4" xfId="0" applyNumberFormat="1" applyFont="1" applyFill="1" applyBorder="1" applyAlignment="1">
      <alignment horizontal="left"/>
    </xf>
    <xf numFmtId="1" fontId="13" fillId="0" borderId="2" xfId="1" applyNumberFormat="1" applyFont="1" applyBorder="1" applyAlignment="1">
      <alignment horizontal="left"/>
    </xf>
    <xf numFmtId="1" fontId="14" fillId="0" borderId="4" xfId="1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2" fontId="14" fillId="0" borderId="4" xfId="0" applyNumberFormat="1" applyFont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1" fontId="13" fillId="0" borderId="0" xfId="0" applyNumberFormat="1" applyFont="1" applyAlignment="1">
      <alignment horizontal="left"/>
    </xf>
    <xf numFmtId="2" fontId="13" fillId="0" borderId="5" xfId="0" applyNumberFormat="1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1" fontId="13" fillId="0" borderId="7" xfId="0" applyNumberFormat="1" applyFont="1" applyBorder="1" applyAlignment="1">
      <alignment horizontal="left" vertical="center"/>
    </xf>
    <xf numFmtId="1" fontId="13" fillId="0" borderId="8" xfId="0" applyNumberFormat="1" applyFont="1" applyBorder="1" applyAlignment="1">
      <alignment horizontal="left"/>
    </xf>
    <xf numFmtId="1" fontId="13" fillId="0" borderId="9" xfId="0" applyNumberFormat="1" applyFont="1" applyBorder="1" applyAlignment="1">
      <alignment horizontal="left"/>
    </xf>
    <xf numFmtId="1" fontId="13" fillId="0" borderId="7" xfId="0" applyNumberFormat="1" applyFont="1" applyBorder="1" applyAlignment="1">
      <alignment horizontal="left"/>
    </xf>
    <xf numFmtId="2" fontId="13" fillId="0" borderId="8" xfId="0" applyNumberFormat="1" applyFont="1" applyBorder="1" applyAlignment="1">
      <alignment horizontal="left"/>
    </xf>
    <xf numFmtId="2" fontId="13" fillId="0" borderId="9" xfId="0" applyNumberFormat="1" applyFont="1" applyBorder="1" applyAlignment="1">
      <alignment horizontal="left"/>
    </xf>
    <xf numFmtId="1" fontId="13" fillId="0" borderId="8" xfId="0" applyNumberFormat="1" applyFont="1" applyFill="1" applyBorder="1" applyAlignment="1">
      <alignment horizontal="left"/>
    </xf>
    <xf numFmtId="1" fontId="13" fillId="0" borderId="5" xfId="1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left"/>
    </xf>
    <xf numFmtId="1" fontId="13" fillId="0" borderId="1" xfId="0" applyNumberFormat="1" applyFont="1" applyBorder="1" applyAlignment="1">
      <alignment horizontal="left" vertical="center"/>
    </xf>
    <xf numFmtId="1" fontId="13" fillId="0" borderId="1" xfId="2" applyNumberFormat="1" applyFont="1" applyBorder="1" applyAlignment="1">
      <alignment horizontal="left"/>
    </xf>
    <xf numFmtId="1" fontId="14" fillId="0" borderId="12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2" fontId="18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13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2" fontId="18" fillId="0" borderId="4" xfId="0" applyNumberFormat="1" applyFont="1" applyBorder="1" applyAlignment="1">
      <alignment horizontal="left"/>
    </xf>
    <xf numFmtId="2" fontId="18" fillId="0" borderId="1" xfId="0" applyNumberFormat="1" applyFont="1" applyFill="1" applyBorder="1" applyAlignment="1">
      <alignment horizontal="left"/>
    </xf>
    <xf numFmtId="2" fontId="19" fillId="0" borderId="4" xfId="0" applyNumberFormat="1" applyFont="1" applyBorder="1" applyAlignment="1">
      <alignment horizontal="left"/>
    </xf>
    <xf numFmtId="2" fontId="18" fillId="0" borderId="1" xfId="1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 vertical="center"/>
    </xf>
    <xf numFmtId="2" fontId="19" fillId="0" borderId="2" xfId="0" applyNumberFormat="1" applyFont="1" applyBorder="1" applyAlignment="1">
      <alignment horizontal="left"/>
    </xf>
    <xf numFmtId="2" fontId="17" fillId="0" borderId="0" xfId="0" applyNumberFormat="1" applyFont="1" applyAlignment="1">
      <alignment horizontal="left"/>
    </xf>
    <xf numFmtId="2" fontId="14" fillId="0" borderId="1" xfId="2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4" fillId="0" borderId="0" xfId="0" applyFont="1"/>
    <xf numFmtId="0" fontId="21" fillId="0" borderId="0" xfId="0" applyFont="1" applyAlignment="1">
      <alignment horizontal="left"/>
    </xf>
    <xf numFmtId="2" fontId="14" fillId="0" borderId="3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2" fontId="14" fillId="0" borderId="13" xfId="0" applyNumberFormat="1" applyFont="1" applyBorder="1" applyAlignment="1">
      <alignment horizontal="left"/>
    </xf>
    <xf numFmtId="2" fontId="14" fillId="0" borderId="2" xfId="0" applyNumberFormat="1" applyFont="1" applyFill="1" applyBorder="1" applyAlignment="1">
      <alignment horizontal="left"/>
    </xf>
    <xf numFmtId="2" fontId="14" fillId="0" borderId="1" xfId="1" applyNumberFormat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0" xfId="0" applyFont="1"/>
    <xf numFmtId="0" fontId="22" fillId="0" borderId="15" xfId="0" applyFont="1" applyBorder="1" applyAlignment="1">
      <alignment horizontal="left"/>
    </xf>
    <xf numFmtId="1" fontId="21" fillId="0" borderId="1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0" xfId="0" applyFont="1" applyAlignment="1">
      <alignment horizontal="left"/>
    </xf>
    <xf numFmtId="2" fontId="23" fillId="0" borderId="3" xfId="0" applyNumberFormat="1" applyFont="1" applyBorder="1" applyAlignment="1">
      <alignment horizontal="left" vertical="center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2" fontId="23" fillId="0" borderId="13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/>
    </xf>
    <xf numFmtId="2" fontId="23" fillId="0" borderId="1" xfId="2" applyNumberFormat="1" applyFont="1" applyBorder="1" applyAlignment="1">
      <alignment horizontal="left"/>
    </xf>
    <xf numFmtId="2" fontId="23" fillId="0" borderId="3" xfId="2" applyNumberFormat="1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2" fontId="21" fillId="0" borderId="13" xfId="0" applyNumberFormat="1" applyFont="1" applyBorder="1" applyAlignment="1">
      <alignment horizontal="left"/>
    </xf>
    <xf numFmtId="2" fontId="21" fillId="0" borderId="16" xfId="0" applyNumberFormat="1" applyFont="1" applyBorder="1" applyAlignment="1">
      <alignment horizontal="left"/>
    </xf>
    <xf numFmtId="2" fontId="21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 vertical="center"/>
    </xf>
    <xf numFmtId="1" fontId="23" fillId="0" borderId="13" xfId="0" applyNumberFormat="1" applyFont="1" applyBorder="1" applyAlignment="1">
      <alignment horizontal="left"/>
    </xf>
    <xf numFmtId="1" fontId="23" fillId="0" borderId="0" xfId="0" applyNumberFormat="1" applyFont="1" applyBorder="1" applyAlignment="1">
      <alignment horizontal="left"/>
    </xf>
    <xf numFmtId="1" fontId="23" fillId="0" borderId="17" xfId="0" applyNumberFormat="1" applyFont="1" applyBorder="1" applyAlignment="1">
      <alignment horizontal="left"/>
    </xf>
    <xf numFmtId="1" fontId="23" fillId="0" borderId="6" xfId="0" applyNumberFormat="1" applyFont="1" applyBorder="1" applyAlignment="1">
      <alignment horizontal="left"/>
    </xf>
    <xf numFmtId="1" fontId="23" fillId="0" borderId="3" xfId="2" applyNumberFormat="1" applyFont="1" applyBorder="1" applyAlignment="1">
      <alignment horizontal="left"/>
    </xf>
    <xf numFmtId="1" fontId="23" fillId="0" borderId="1" xfId="1" applyNumberFormat="1" applyFont="1" applyBorder="1" applyAlignment="1">
      <alignment horizontal="left"/>
    </xf>
    <xf numFmtId="1" fontId="23" fillId="0" borderId="2" xfId="1" applyNumberFormat="1" applyFont="1" applyBorder="1" applyAlignment="1">
      <alignment horizontal="left"/>
    </xf>
    <xf numFmtId="1" fontId="23" fillId="0" borderId="3" xfId="1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 vertical="center"/>
    </xf>
    <xf numFmtId="1" fontId="21" fillId="0" borderId="2" xfId="0" applyNumberFormat="1" applyFont="1" applyBorder="1" applyAlignment="1">
      <alignment horizontal="left"/>
    </xf>
    <xf numFmtId="1" fontId="21" fillId="0" borderId="3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2" fontId="23" fillId="0" borderId="1" xfId="0" applyNumberFormat="1" applyFont="1" applyBorder="1" applyAlignment="1">
      <alignment horizontal="left" vertical="center"/>
    </xf>
    <xf numFmtId="2" fontId="23" fillId="0" borderId="4" xfId="0" applyNumberFormat="1" applyFont="1" applyBorder="1" applyAlignment="1">
      <alignment horizontal="left"/>
    </xf>
    <xf numFmtId="1" fontId="23" fillId="0" borderId="4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/>
    </xf>
    <xf numFmtId="1" fontId="21" fillId="0" borderId="18" xfId="0" applyNumberFormat="1" applyFont="1" applyBorder="1" applyAlignment="1">
      <alignment horizontal="left"/>
    </xf>
    <xf numFmtId="1" fontId="21" fillId="0" borderId="16" xfId="0" applyNumberFormat="1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2" fontId="21" fillId="0" borderId="1" xfId="0" applyNumberFormat="1" applyFont="1" applyBorder="1" applyAlignment="1">
      <alignment horizontal="left" vertical="center"/>
    </xf>
    <xf numFmtId="2" fontId="21" fillId="0" borderId="4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 vertical="center"/>
    </xf>
    <xf numFmtId="2" fontId="23" fillId="0" borderId="20" xfId="0" applyNumberFormat="1" applyFont="1" applyBorder="1" applyAlignment="1">
      <alignment horizontal="left"/>
    </xf>
    <xf numFmtId="2" fontId="23" fillId="0" borderId="21" xfId="0" applyNumberFormat="1" applyFont="1" applyBorder="1" applyAlignment="1">
      <alignment horizontal="left"/>
    </xf>
    <xf numFmtId="1" fontId="23" fillId="0" borderId="22" xfId="0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1" fontId="23" fillId="0" borderId="19" xfId="0" applyNumberFormat="1" applyFont="1" applyBorder="1" applyAlignment="1">
      <alignment horizontal="left"/>
    </xf>
    <xf numFmtId="1" fontId="23" fillId="0" borderId="23" xfId="0" applyNumberFormat="1" applyFont="1" applyBorder="1" applyAlignment="1">
      <alignment horizontal="left"/>
    </xf>
    <xf numFmtId="1" fontId="23" fillId="0" borderId="19" xfId="1" applyNumberFormat="1" applyFont="1" applyBorder="1" applyAlignment="1">
      <alignment horizontal="left"/>
    </xf>
    <xf numFmtId="1" fontId="23" fillId="0" borderId="21" xfId="1" applyNumberFormat="1" applyFont="1" applyBorder="1" applyAlignment="1">
      <alignment horizontal="left"/>
    </xf>
    <xf numFmtId="1" fontId="23" fillId="0" borderId="23" xfId="1" applyNumberFormat="1" applyFont="1" applyBorder="1" applyAlignment="1">
      <alignment horizontal="left"/>
    </xf>
    <xf numFmtId="1" fontId="21" fillId="0" borderId="19" xfId="0" applyNumberFormat="1" applyFont="1" applyBorder="1" applyAlignment="1">
      <alignment horizontal="left"/>
    </xf>
    <xf numFmtId="1" fontId="21" fillId="0" borderId="20" xfId="0" applyNumberFormat="1" applyFont="1" applyBorder="1" applyAlignment="1">
      <alignment horizontal="left"/>
    </xf>
    <xf numFmtId="1" fontId="21" fillId="0" borderId="24" xfId="0" applyNumberFormat="1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1" fontId="23" fillId="0" borderId="27" xfId="0" applyNumberFormat="1" applyFont="1" applyBorder="1" applyAlignment="1">
      <alignment horizontal="left"/>
    </xf>
    <xf numFmtId="1" fontId="23" fillId="0" borderId="26" xfId="0" applyNumberFormat="1" applyFont="1" applyBorder="1" applyAlignment="1">
      <alignment horizontal="left"/>
    </xf>
    <xf numFmtId="1" fontId="23" fillId="0" borderId="25" xfId="0" applyNumberFormat="1" applyFont="1" applyBorder="1" applyAlignment="1">
      <alignment horizontal="left"/>
    </xf>
    <xf numFmtId="1" fontId="2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2" fillId="0" borderId="0" xfId="0" applyFont="1"/>
    <xf numFmtId="0" fontId="21" fillId="0" borderId="7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1" fontId="21" fillId="0" borderId="9" xfId="0" applyNumberFormat="1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/>
    </xf>
    <xf numFmtId="1" fontId="21" fillId="0" borderId="5" xfId="0" applyNumberFormat="1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1" fontId="21" fillId="0" borderId="7" xfId="0" applyNumberFormat="1" applyFont="1" applyBorder="1" applyAlignment="1">
      <alignment horizontal="left" vertical="center"/>
    </xf>
    <xf numFmtId="1" fontId="21" fillId="0" borderId="28" xfId="0" applyNumberFormat="1" applyFont="1" applyBorder="1" applyAlignment="1">
      <alignment horizontal="left" vertical="center"/>
    </xf>
    <xf numFmtId="1" fontId="23" fillId="0" borderId="5" xfId="0" applyNumberFormat="1" applyFont="1" applyBorder="1" applyAlignment="1">
      <alignment horizontal="left"/>
    </xf>
    <xf numFmtId="1" fontId="23" fillId="0" borderId="9" xfId="0" applyNumberFormat="1" applyFont="1" applyBorder="1" applyAlignment="1">
      <alignment horizontal="left"/>
    </xf>
    <xf numFmtId="1" fontId="23" fillId="0" borderId="0" xfId="0" applyNumberFormat="1" applyFont="1"/>
    <xf numFmtId="1" fontId="22" fillId="0" borderId="13" xfId="0" applyNumberFormat="1" applyFont="1" applyBorder="1" applyAlignment="1">
      <alignment horizontal="left"/>
    </xf>
    <xf numFmtId="1" fontId="24" fillId="0" borderId="13" xfId="0" applyNumberFormat="1" applyFont="1" applyBorder="1" applyAlignment="1">
      <alignment horizontal="left"/>
    </xf>
    <xf numFmtId="1" fontId="22" fillId="0" borderId="29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18" fillId="0" borderId="1" xfId="1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/>
    </xf>
    <xf numFmtId="1" fontId="22" fillId="0" borderId="30" xfId="0" applyNumberFormat="1" applyFont="1" applyBorder="1" applyAlignment="1">
      <alignment horizontal="left"/>
    </xf>
    <xf numFmtId="1" fontId="18" fillId="0" borderId="19" xfId="0" applyNumberFormat="1" applyFont="1" applyBorder="1" applyAlignment="1">
      <alignment horizontal="left" vertical="center"/>
    </xf>
    <xf numFmtId="1" fontId="18" fillId="0" borderId="20" xfId="0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left"/>
    </xf>
    <xf numFmtId="1" fontId="13" fillId="0" borderId="13" xfId="0" applyNumberFormat="1" applyFont="1" applyBorder="1" applyAlignment="1">
      <alignment horizontal="left" vertical="center"/>
    </xf>
    <xf numFmtId="1" fontId="13" fillId="0" borderId="18" xfId="0" applyNumberFormat="1" applyFont="1" applyBorder="1" applyAlignment="1">
      <alignment horizontal="left" vertical="center"/>
    </xf>
    <xf numFmtId="1" fontId="13" fillId="0" borderId="1" xfId="1" applyNumberFormat="1" applyFont="1" applyBorder="1" applyAlignment="1">
      <alignment horizontal="left"/>
    </xf>
    <xf numFmtId="2" fontId="13" fillId="0" borderId="13" xfId="0" applyNumberFormat="1" applyFont="1" applyBorder="1" applyAlignment="1">
      <alignment horizontal="left"/>
    </xf>
    <xf numFmtId="2" fontId="13" fillId="0" borderId="1" xfId="2" applyNumberFormat="1" applyFont="1" applyBorder="1" applyAlignment="1">
      <alignment horizontal="left"/>
    </xf>
    <xf numFmtId="1" fontId="13" fillId="0" borderId="0" xfId="0" applyNumberFormat="1" applyFont="1" applyFill="1" applyAlignment="1">
      <alignment horizontal="left"/>
    </xf>
    <xf numFmtId="1" fontId="13" fillId="0" borderId="0" xfId="0" applyNumberFormat="1" applyFont="1"/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/>
    </xf>
    <xf numFmtId="1" fontId="22" fillId="0" borderId="3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31" xfId="0" applyNumberFormat="1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2" fontId="19" fillId="0" borderId="15" xfId="0" applyNumberFormat="1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2" fontId="18" fillId="0" borderId="19" xfId="0" applyNumberFormat="1" applyFont="1" applyBorder="1" applyAlignment="1">
      <alignment horizontal="left"/>
    </xf>
    <xf numFmtId="2" fontId="18" fillId="0" borderId="21" xfId="0" applyNumberFormat="1" applyFont="1" applyBorder="1" applyAlignment="1">
      <alignment horizontal="left"/>
    </xf>
    <xf numFmtId="2" fontId="18" fillId="0" borderId="23" xfId="0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left"/>
    </xf>
    <xf numFmtId="2" fontId="18" fillId="0" borderId="20" xfId="0" applyNumberFormat="1" applyFont="1" applyBorder="1" applyAlignment="1">
      <alignment horizontal="left"/>
    </xf>
    <xf numFmtId="2" fontId="18" fillId="0" borderId="19" xfId="0" applyNumberFormat="1" applyFont="1" applyFill="1" applyBorder="1" applyAlignment="1">
      <alignment horizontal="left"/>
    </xf>
    <xf numFmtId="2" fontId="18" fillId="0" borderId="19" xfId="1" applyNumberFormat="1" applyFont="1" applyBorder="1" applyAlignment="1">
      <alignment horizontal="left"/>
    </xf>
    <xf numFmtId="2" fontId="19" fillId="0" borderId="19" xfId="0" applyNumberFormat="1" applyFont="1" applyBorder="1" applyAlignment="1">
      <alignment horizontal="left"/>
    </xf>
    <xf numFmtId="2" fontId="19" fillId="0" borderId="38" xfId="0" applyNumberFormat="1" applyFont="1" applyBorder="1" applyAlignment="1">
      <alignment horizontal="left"/>
    </xf>
    <xf numFmtId="2" fontId="18" fillId="0" borderId="39" xfId="0" applyNumberFormat="1" applyFont="1" applyBorder="1" applyAlignment="1">
      <alignment horizontal="left"/>
    </xf>
    <xf numFmtId="2" fontId="18" fillId="0" borderId="40" xfId="0" applyNumberFormat="1" applyFont="1" applyBorder="1" applyAlignment="1">
      <alignment horizontal="left"/>
    </xf>
    <xf numFmtId="2" fontId="18" fillId="0" borderId="41" xfId="0" applyNumberFormat="1" applyFont="1" applyBorder="1" applyAlignment="1">
      <alignment horizontal="left"/>
    </xf>
    <xf numFmtId="2" fontId="18" fillId="0" borderId="42" xfId="0" applyNumberFormat="1" applyFont="1" applyBorder="1" applyAlignment="1">
      <alignment horizontal="left"/>
    </xf>
    <xf numFmtId="2" fontId="18" fillId="0" borderId="43" xfId="0" applyNumberFormat="1" applyFont="1" applyBorder="1" applyAlignment="1">
      <alignment horizontal="left"/>
    </xf>
    <xf numFmtId="2" fontId="18" fillId="0" borderId="39" xfId="0" applyNumberFormat="1" applyFont="1" applyFill="1" applyBorder="1" applyAlignment="1">
      <alignment horizontal="left"/>
    </xf>
    <xf numFmtId="2" fontId="18" fillId="0" borderId="39" xfId="1" applyNumberFormat="1" applyFont="1" applyBorder="1" applyAlignment="1">
      <alignment horizontal="left"/>
    </xf>
    <xf numFmtId="2" fontId="19" fillId="0" borderId="39" xfId="0" applyNumberFormat="1" applyFont="1" applyBorder="1" applyAlignment="1">
      <alignment horizontal="left"/>
    </xf>
    <xf numFmtId="2" fontId="19" fillId="0" borderId="44" xfId="0" applyNumberFormat="1" applyFont="1" applyBorder="1" applyAlignment="1">
      <alignment horizontal="left"/>
    </xf>
    <xf numFmtId="2" fontId="13" fillId="0" borderId="19" xfId="0" applyNumberFormat="1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2" fontId="13" fillId="0" borderId="20" xfId="0" applyNumberFormat="1" applyFont="1" applyBorder="1" applyAlignment="1">
      <alignment horizontal="left"/>
    </xf>
    <xf numFmtId="2" fontId="13" fillId="0" borderId="21" xfId="0" applyNumberFormat="1" applyFont="1" applyBorder="1" applyAlignment="1">
      <alignment horizontal="left"/>
    </xf>
    <xf numFmtId="2" fontId="13" fillId="0" borderId="22" xfId="0" applyNumberFormat="1" applyFont="1" applyBorder="1" applyAlignment="1">
      <alignment horizontal="left"/>
    </xf>
    <xf numFmtId="0" fontId="23" fillId="0" borderId="44" xfId="0" applyFont="1" applyBorder="1" applyAlignment="1">
      <alignment horizontal="left"/>
    </xf>
    <xf numFmtId="2" fontId="14" fillId="0" borderId="39" xfId="0" applyNumberFormat="1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2" fontId="14" fillId="0" borderId="40" xfId="0" applyNumberFormat="1" applyFont="1" applyBorder="1" applyAlignment="1">
      <alignment horizontal="left"/>
    </xf>
    <xf numFmtId="2" fontId="14" fillId="0" borderId="42" xfId="0" applyNumberFormat="1" applyFont="1" applyBorder="1" applyAlignment="1">
      <alignment horizontal="left"/>
    </xf>
    <xf numFmtId="1" fontId="15" fillId="0" borderId="15" xfId="0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left" vertical="top" shrinkToFit="1"/>
    </xf>
    <xf numFmtId="1" fontId="13" fillId="0" borderId="1" xfId="0" applyNumberFormat="1" applyFont="1" applyFill="1" applyBorder="1" applyAlignment="1">
      <alignment horizontal="left" vertical="top" wrapText="1"/>
    </xf>
    <xf numFmtId="1" fontId="13" fillId="0" borderId="0" xfId="0" applyNumberFormat="1" applyFont="1" applyBorder="1" applyAlignment="1">
      <alignment horizontal="left"/>
    </xf>
    <xf numFmtId="2" fontId="14" fillId="0" borderId="32" xfId="0" applyNumberFormat="1" applyFont="1" applyBorder="1" applyAlignment="1">
      <alignment horizontal="left"/>
    </xf>
    <xf numFmtId="2" fontId="14" fillId="0" borderId="33" xfId="0" applyNumberFormat="1" applyFont="1" applyBorder="1" applyAlignment="1">
      <alignment horizontal="left"/>
    </xf>
    <xf numFmtId="2" fontId="13" fillId="0" borderId="33" xfId="0" applyNumberFormat="1" applyFont="1" applyBorder="1" applyAlignment="1">
      <alignment horizontal="left"/>
    </xf>
    <xf numFmtId="2" fontId="13" fillId="0" borderId="34" xfId="0" applyNumberFormat="1" applyFont="1" applyBorder="1" applyAlignment="1">
      <alignment horizontal="left"/>
    </xf>
    <xf numFmtId="2" fontId="14" fillId="0" borderId="7" xfId="0" applyNumberFormat="1" applyFont="1" applyBorder="1" applyAlignment="1">
      <alignment horizontal="left" vertical="center"/>
    </xf>
    <xf numFmtId="2" fontId="14" fillId="0" borderId="9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left" vertical="center"/>
    </xf>
    <xf numFmtId="2" fontId="15" fillId="0" borderId="37" xfId="0" applyNumberFormat="1" applyFont="1" applyFill="1" applyBorder="1" applyAlignment="1">
      <alignment horizontal="left" vertical="center" wrapText="1"/>
    </xf>
    <xf numFmtId="2" fontId="13" fillId="0" borderId="47" xfId="0" applyNumberFormat="1" applyFont="1" applyBorder="1" applyAlignment="1">
      <alignment horizontal="left"/>
    </xf>
    <xf numFmtId="2" fontId="13" fillId="0" borderId="32" xfId="0" applyNumberFormat="1" applyFont="1" applyFill="1" applyBorder="1" applyAlignment="1">
      <alignment horizontal="left" vertical="center" wrapText="1"/>
    </xf>
    <xf numFmtId="2" fontId="13" fillId="0" borderId="32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1" fontId="14" fillId="0" borderId="7" xfId="0" applyNumberFormat="1" applyFont="1" applyBorder="1" applyAlignment="1">
      <alignment horizontal="left"/>
    </xf>
    <xf numFmtId="1" fontId="13" fillId="0" borderId="7" xfId="1" applyNumberFormat="1" applyFont="1" applyBorder="1" applyAlignment="1">
      <alignment horizontal="left"/>
    </xf>
    <xf numFmtId="3" fontId="15" fillId="0" borderId="47" xfId="0" applyNumberFormat="1" applyFont="1" applyBorder="1" applyAlignment="1">
      <alignment horizontal="left"/>
    </xf>
    <xf numFmtId="164" fontId="15" fillId="0" borderId="4" xfId="0" applyNumberFormat="1" applyFont="1" applyBorder="1" applyAlignment="1">
      <alignment horizontal="left"/>
    </xf>
    <xf numFmtId="2" fontId="13" fillId="0" borderId="32" xfId="0" applyNumberFormat="1" applyFont="1" applyBorder="1" applyAlignment="1">
      <alignment horizontal="left" wrapText="1"/>
    </xf>
    <xf numFmtId="1" fontId="20" fillId="0" borderId="14" xfId="0" applyNumberFormat="1" applyFont="1" applyBorder="1" applyAlignment="1">
      <alignment horizontal="left"/>
    </xf>
    <xf numFmtId="1" fontId="13" fillId="0" borderId="29" xfId="0" applyNumberFormat="1" applyFont="1" applyFill="1" applyBorder="1" applyAlignment="1">
      <alignment horizontal="left"/>
    </xf>
    <xf numFmtId="1" fontId="13" fillId="0" borderId="30" xfId="0" applyNumberFormat="1" applyFont="1" applyFill="1" applyBorder="1" applyAlignment="1">
      <alignment horizontal="left"/>
    </xf>
    <xf numFmtId="1" fontId="18" fillId="0" borderId="1" xfId="2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2" fontId="18" fillId="0" borderId="7" xfId="0" applyNumberFormat="1" applyFont="1" applyBorder="1" applyAlignment="1">
      <alignment horizontal="left"/>
    </xf>
    <xf numFmtId="2" fontId="18" fillId="0" borderId="5" xfId="0" applyNumberFormat="1" applyFont="1" applyBorder="1" applyAlignment="1">
      <alignment horizontal="left"/>
    </xf>
    <xf numFmtId="2" fontId="18" fillId="0" borderId="28" xfId="0" applyNumberFormat="1" applyFont="1" applyBorder="1" applyAlignment="1">
      <alignment horizontal="left"/>
    </xf>
    <xf numFmtId="2" fontId="18" fillId="0" borderId="9" xfId="0" applyNumberFormat="1" applyFont="1" applyBorder="1" applyAlignment="1">
      <alignment horizontal="left"/>
    </xf>
    <xf numFmtId="2" fontId="18" fillId="0" borderId="8" xfId="0" applyNumberFormat="1" applyFont="1" applyBorder="1" applyAlignment="1">
      <alignment horizontal="left"/>
    </xf>
    <xf numFmtId="2" fontId="18" fillId="0" borderId="7" xfId="0" applyNumberFormat="1" applyFont="1" applyFill="1" applyBorder="1" applyAlignment="1">
      <alignment horizontal="left"/>
    </xf>
    <xf numFmtId="2" fontId="18" fillId="0" borderId="7" xfId="1" applyNumberFormat="1" applyFont="1" applyBorder="1" applyAlignment="1">
      <alignment horizontal="left"/>
    </xf>
    <xf numFmtId="2" fontId="19" fillId="0" borderId="7" xfId="0" applyNumberFormat="1" applyFont="1" applyBorder="1" applyAlignment="1">
      <alignment horizontal="left"/>
    </xf>
    <xf numFmtId="2" fontId="19" fillId="0" borderId="48" xfId="0" applyNumberFormat="1" applyFont="1" applyBorder="1" applyAlignment="1">
      <alignment horizontal="left"/>
    </xf>
    <xf numFmtId="0" fontId="23" fillId="0" borderId="39" xfId="0" applyFont="1" applyBorder="1" applyAlignment="1">
      <alignment horizontal="left"/>
    </xf>
    <xf numFmtId="0" fontId="23" fillId="0" borderId="49" xfId="0" applyFont="1" applyBorder="1" applyAlignment="1">
      <alignment horizontal="left"/>
    </xf>
    <xf numFmtId="1" fontId="21" fillId="0" borderId="50" xfId="0" applyNumberFormat="1" applyFont="1" applyBorder="1" applyAlignment="1">
      <alignment horizontal="left"/>
    </xf>
    <xf numFmtId="1" fontId="23" fillId="0" borderId="22" xfId="1" applyNumberFormat="1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" fontId="22" fillId="0" borderId="28" xfId="0" applyNumberFormat="1" applyFont="1" applyBorder="1" applyAlignment="1">
      <alignment horizontal="left"/>
    </xf>
    <xf numFmtId="0" fontId="22" fillId="0" borderId="48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3" fillId="0" borderId="4" xfId="1" applyNumberFormat="1" applyFont="1" applyBorder="1" applyAlignment="1">
      <alignment horizontal="left"/>
    </xf>
    <xf numFmtId="1" fontId="13" fillId="0" borderId="13" xfId="0" applyNumberFormat="1" applyFont="1" applyFill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2" fontId="25" fillId="0" borderId="1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2" fontId="25" fillId="0" borderId="18" xfId="0" applyNumberFormat="1" applyFont="1" applyBorder="1" applyAlignment="1">
      <alignment horizontal="left" vertical="center"/>
    </xf>
    <xf numFmtId="2" fontId="25" fillId="0" borderId="2" xfId="0" applyNumberFormat="1" applyFont="1" applyBorder="1" applyAlignment="1">
      <alignment horizontal="left" vertical="center"/>
    </xf>
    <xf numFmtId="2" fontId="25" fillId="0" borderId="13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44" xfId="0" applyFont="1" applyBorder="1" applyAlignment="1">
      <alignment horizontal="left"/>
    </xf>
    <xf numFmtId="2" fontId="25" fillId="0" borderId="43" xfId="0" applyNumberFormat="1" applyFont="1" applyBorder="1" applyAlignment="1">
      <alignment horizontal="left" vertical="center"/>
    </xf>
    <xf numFmtId="2" fontId="25" fillId="0" borderId="51" xfId="0" applyNumberFormat="1" applyFont="1" applyBorder="1" applyAlignment="1">
      <alignment horizontal="left" vertical="center"/>
    </xf>
    <xf numFmtId="2" fontId="25" fillId="0" borderId="39" xfId="0" applyNumberFormat="1" applyFont="1" applyBorder="1" applyAlignment="1">
      <alignment horizontal="left" vertical="center"/>
    </xf>
    <xf numFmtId="2" fontId="25" fillId="0" borderId="52" xfId="0" applyNumberFormat="1" applyFont="1" applyBorder="1" applyAlignment="1">
      <alignment horizontal="left" vertical="center"/>
    </xf>
    <xf numFmtId="2" fontId="29" fillId="0" borderId="39" xfId="1" applyNumberFormat="1" applyFont="1" applyBorder="1" applyAlignment="1">
      <alignment horizontal="left"/>
    </xf>
    <xf numFmtId="2" fontId="29" fillId="0" borderId="39" xfId="0" applyNumberFormat="1" applyFont="1" applyBorder="1" applyAlignment="1">
      <alignment horizontal="left"/>
    </xf>
    <xf numFmtId="2" fontId="29" fillId="0" borderId="44" xfId="0" applyNumberFormat="1" applyFont="1" applyBorder="1" applyAlignment="1">
      <alignment horizontal="left"/>
    </xf>
    <xf numFmtId="0" fontId="30" fillId="0" borderId="0" xfId="0" applyFont="1" applyAlignment="1">
      <alignment horizontal="left"/>
    </xf>
    <xf numFmtId="0" fontId="27" fillId="0" borderId="53" xfId="0" applyFont="1" applyBorder="1" applyAlignment="1">
      <alignment horizontal="left"/>
    </xf>
    <xf numFmtId="2" fontId="25" fillId="0" borderId="54" xfId="0" applyNumberFormat="1" applyFont="1" applyBorder="1" applyAlignment="1">
      <alignment horizontal="left" vertical="center"/>
    </xf>
    <xf numFmtId="2" fontId="25" fillId="0" borderId="55" xfId="0" applyNumberFormat="1" applyFont="1" applyBorder="1" applyAlignment="1">
      <alignment horizontal="left" vertical="center"/>
    </xf>
    <xf numFmtId="2" fontId="25" fillId="0" borderId="56" xfId="0" applyNumberFormat="1" applyFont="1" applyBorder="1" applyAlignment="1">
      <alignment horizontal="left" vertical="center"/>
    </xf>
    <xf numFmtId="2" fontId="25" fillId="0" borderId="57" xfId="0" applyNumberFormat="1" applyFont="1" applyBorder="1" applyAlignment="1">
      <alignment horizontal="left" vertical="center"/>
    </xf>
    <xf numFmtId="2" fontId="29" fillId="0" borderId="56" xfId="0" applyNumberFormat="1" applyFont="1" applyBorder="1" applyAlignment="1">
      <alignment horizontal="left"/>
    </xf>
    <xf numFmtId="2" fontId="29" fillId="0" borderId="53" xfId="0" applyNumberFormat="1" applyFont="1" applyBorder="1" applyAlignment="1">
      <alignment horizontal="left"/>
    </xf>
    <xf numFmtId="0" fontId="13" fillId="0" borderId="0" xfId="0" applyFont="1"/>
    <xf numFmtId="0" fontId="15" fillId="0" borderId="15" xfId="0" applyFont="1" applyBorder="1" applyAlignment="1">
      <alignment horizontal="left"/>
    </xf>
    <xf numFmtId="0" fontId="17" fillId="0" borderId="58" xfId="0" applyFont="1" applyBorder="1"/>
    <xf numFmtId="0" fontId="17" fillId="0" borderId="16" xfId="0" applyFont="1" applyBorder="1"/>
    <xf numFmtId="0" fontId="17" fillId="0" borderId="34" xfId="0" applyFont="1" applyBorder="1"/>
    <xf numFmtId="0" fontId="17" fillId="0" borderId="3" xfId="0" applyFont="1" applyBorder="1"/>
    <xf numFmtId="0" fontId="15" fillId="0" borderId="37" xfId="0" applyFont="1" applyBorder="1" applyAlignment="1">
      <alignment horizontal="left"/>
    </xf>
    <xf numFmtId="0" fontId="17" fillId="0" borderId="18" xfId="0" applyFont="1" applyBorder="1"/>
    <xf numFmtId="0" fontId="17" fillId="0" borderId="15" xfId="0" applyFont="1" applyBorder="1"/>
    <xf numFmtId="0" fontId="17" fillId="0" borderId="47" xfId="0" applyFont="1" applyBorder="1"/>
    <xf numFmtId="0" fontId="17" fillId="0" borderId="4" xfId="0" applyFont="1" applyBorder="1"/>
    <xf numFmtId="0" fontId="18" fillId="0" borderId="0" xfId="0" applyFont="1"/>
    <xf numFmtId="2" fontId="18" fillId="0" borderId="15" xfId="0" applyNumberFormat="1" applyFont="1" applyBorder="1" applyAlignment="1">
      <alignment vertical="center"/>
    </xf>
    <xf numFmtId="2" fontId="19" fillId="0" borderId="15" xfId="0" applyNumberFormat="1" applyFont="1" applyBorder="1" applyAlignment="1">
      <alignment vertical="center"/>
    </xf>
    <xf numFmtId="2" fontId="18" fillId="0" borderId="16" xfId="0" applyNumberFormat="1" applyFont="1" applyBorder="1" applyAlignment="1">
      <alignment horizontal="right"/>
    </xf>
    <xf numFmtId="2" fontId="19" fillId="0" borderId="16" xfId="0" applyNumberFormat="1" applyFont="1" applyBorder="1" applyAlignment="1">
      <alignment horizontal="right"/>
    </xf>
    <xf numFmtId="0" fontId="24" fillId="0" borderId="29" xfId="0" applyFont="1" applyBorder="1" applyAlignment="1">
      <alignment horizontal="left"/>
    </xf>
    <xf numFmtId="0" fontId="24" fillId="0" borderId="60" xfId="0" applyFont="1" applyBorder="1" applyAlignment="1">
      <alignment horizontal="left"/>
    </xf>
    <xf numFmtId="0" fontId="19" fillId="0" borderId="48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7" fillId="0" borderId="60" xfId="0" applyFont="1" applyBorder="1"/>
    <xf numFmtId="0" fontId="17" fillId="0" borderId="29" xfId="0" applyFont="1" applyBorder="1"/>
    <xf numFmtId="0" fontId="19" fillId="0" borderId="48" xfId="0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right"/>
    </xf>
    <xf numFmtId="2" fontId="19" fillId="0" borderId="15" xfId="0" applyNumberFormat="1" applyFont="1" applyBorder="1" applyAlignment="1">
      <alignment horizontal="right"/>
    </xf>
    <xf numFmtId="0" fontId="14" fillId="0" borderId="10" xfId="0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right"/>
    </xf>
    <xf numFmtId="2" fontId="14" fillId="0" borderId="16" xfId="0" applyNumberFormat="1" applyFont="1" applyBorder="1" applyAlignment="1">
      <alignment horizontal="right"/>
    </xf>
    <xf numFmtId="0" fontId="13" fillId="0" borderId="17" xfId="0" applyFont="1" applyBorder="1" applyAlignment="1">
      <alignment horizontal="left"/>
    </xf>
    <xf numFmtId="2" fontId="13" fillId="0" borderId="16" xfId="0" applyNumberFormat="1" applyFont="1" applyBorder="1" applyAlignment="1">
      <alignment horizontal="left"/>
    </xf>
    <xf numFmtId="2" fontId="14" fillId="0" borderId="16" xfId="0" applyNumberFormat="1" applyFont="1" applyBorder="1" applyAlignment="1">
      <alignment horizontal="left"/>
    </xf>
    <xf numFmtId="2" fontId="23" fillId="0" borderId="16" xfId="0" applyNumberFormat="1" applyFont="1" applyBorder="1" applyAlignment="1">
      <alignment horizontal="left"/>
    </xf>
    <xf numFmtId="2" fontId="18" fillId="0" borderId="16" xfId="2" applyNumberFormat="1" applyFont="1" applyBorder="1" applyAlignment="1">
      <alignment horizontal="right"/>
    </xf>
    <xf numFmtId="2" fontId="18" fillId="0" borderId="16" xfId="1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18" fillId="0" borderId="16" xfId="0" applyNumberFormat="1" applyFont="1" applyBorder="1" applyAlignment="1">
      <alignment horizontal="right" wrapText="1"/>
    </xf>
    <xf numFmtId="3" fontId="22" fillId="0" borderId="16" xfId="0" applyNumberFormat="1" applyFont="1" applyBorder="1" applyAlignment="1">
      <alignment horizontal="right"/>
    </xf>
    <xf numFmtId="3" fontId="24" fillId="0" borderId="16" xfId="0" applyNumberFormat="1" applyFont="1" applyBorder="1" applyAlignment="1">
      <alignment horizontal="right"/>
    </xf>
    <xf numFmtId="164" fontId="22" fillId="0" borderId="16" xfId="0" applyNumberFormat="1" applyFont="1" applyBorder="1" applyAlignment="1">
      <alignment horizontal="right"/>
    </xf>
    <xf numFmtId="2" fontId="18" fillId="0" borderId="16" xfId="0" applyNumberFormat="1" applyFont="1" applyFill="1" applyBorder="1" applyAlignment="1">
      <alignment horizontal="right"/>
    </xf>
    <xf numFmtId="1" fontId="32" fillId="0" borderId="0" xfId="0" applyNumberFormat="1" applyFont="1" applyAlignment="1">
      <alignment horizontal="left"/>
    </xf>
    <xf numFmtId="0" fontId="33" fillId="0" borderId="0" xfId="0" applyFont="1" applyBorder="1" applyAlignment="1">
      <alignment horizontal="left"/>
    </xf>
    <xf numFmtId="1" fontId="14" fillId="0" borderId="8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1" fontId="14" fillId="0" borderId="9" xfId="0" applyNumberFormat="1" applyFont="1" applyBorder="1" applyAlignment="1">
      <alignment horizontal="left" vertical="center"/>
    </xf>
    <xf numFmtId="1" fontId="13" fillId="0" borderId="7" xfId="0" applyNumberFormat="1" applyFont="1" applyFill="1" applyBorder="1" applyAlignment="1">
      <alignment horizontal="left" vertical="center" shrinkToFit="1"/>
    </xf>
    <xf numFmtId="1" fontId="14" fillId="0" borderId="7" xfId="0" applyNumberFormat="1" applyFont="1" applyBorder="1" applyAlignment="1">
      <alignment horizontal="left" vertical="center"/>
    </xf>
    <xf numFmtId="1" fontId="14" fillId="0" borderId="48" xfId="0" applyNumberFormat="1" applyFont="1" applyBorder="1" applyAlignment="1">
      <alignment horizontal="left" vertical="center"/>
    </xf>
    <xf numFmtId="0" fontId="33" fillId="0" borderId="61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33" fillId="0" borderId="27" xfId="0" applyFont="1" applyBorder="1" applyAlignment="1">
      <alignment horizontal="left"/>
    </xf>
    <xf numFmtId="0" fontId="34" fillId="0" borderId="0" xfId="0" applyFont="1"/>
    <xf numFmtId="0" fontId="33" fillId="0" borderId="25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5" fillId="0" borderId="0" xfId="0" applyFont="1"/>
    <xf numFmtId="0" fontId="36" fillId="0" borderId="45" xfId="0" applyFont="1" applyBorder="1" applyAlignment="1">
      <alignment horizontal="left"/>
    </xf>
    <xf numFmtId="1" fontId="36" fillId="0" borderId="12" xfId="0" applyNumberFormat="1" applyFont="1" applyBorder="1" applyAlignment="1">
      <alignment horizontal="left" vertical="center"/>
    </xf>
    <xf numFmtId="1" fontId="36" fillId="0" borderId="31" xfId="0" applyNumberFormat="1" applyFont="1" applyBorder="1" applyAlignment="1">
      <alignment horizontal="left" vertical="center"/>
    </xf>
    <xf numFmtId="1" fontId="36" fillId="0" borderId="62" xfId="0" applyNumberFormat="1" applyFont="1" applyBorder="1" applyAlignment="1">
      <alignment horizontal="left" vertical="center"/>
    </xf>
    <xf numFmtId="1" fontId="36" fillId="0" borderId="46" xfId="0" applyNumberFormat="1" applyFont="1" applyBorder="1" applyAlignment="1">
      <alignment horizontal="left" vertical="center"/>
    </xf>
    <xf numFmtId="1" fontId="36" fillId="0" borderId="63" xfId="0" applyNumberFormat="1" applyFont="1" applyBorder="1" applyAlignment="1">
      <alignment horizontal="left" vertical="center"/>
    </xf>
    <xf numFmtId="1" fontId="36" fillId="0" borderId="12" xfId="0" applyNumberFormat="1" applyFont="1" applyBorder="1" applyAlignment="1">
      <alignment horizontal="left"/>
    </xf>
    <xf numFmtId="1" fontId="36" fillId="0" borderId="45" xfId="0" applyNumberFormat="1" applyFont="1" applyBorder="1" applyAlignment="1">
      <alignment horizontal="left"/>
    </xf>
    <xf numFmtId="2" fontId="36" fillId="0" borderId="12" xfId="0" applyNumberFormat="1" applyFont="1" applyBorder="1" applyAlignment="1">
      <alignment horizontal="left"/>
    </xf>
    <xf numFmtId="1" fontId="36" fillId="0" borderId="12" xfId="1" applyNumberFormat="1" applyFont="1" applyBorder="1" applyAlignment="1">
      <alignment horizontal="left"/>
    </xf>
    <xf numFmtId="1" fontId="36" fillId="0" borderId="31" xfId="1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1" fontId="37" fillId="0" borderId="0" xfId="0" applyNumberFormat="1" applyFont="1"/>
    <xf numFmtId="1" fontId="23" fillId="0" borderId="0" xfId="0" applyNumberFormat="1" applyFont="1" applyFill="1" applyBorder="1" applyAlignment="1">
      <alignment horizontal="left"/>
    </xf>
    <xf numFmtId="1" fontId="23" fillId="0" borderId="1" xfId="0" applyNumberFormat="1" applyFont="1" applyFill="1" applyBorder="1" applyAlignment="1">
      <alignment horizontal="left"/>
    </xf>
    <xf numFmtId="1" fontId="21" fillId="0" borderId="29" xfId="0" applyNumberFormat="1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left"/>
    </xf>
    <xf numFmtId="1" fontId="21" fillId="0" borderId="0" xfId="0" applyNumberFormat="1" applyFont="1" applyAlignment="1">
      <alignment horizontal="left"/>
    </xf>
    <xf numFmtId="1" fontId="3" fillId="0" borderId="4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 vertical="center"/>
    </xf>
    <xf numFmtId="1" fontId="23" fillId="0" borderId="19" xfId="0" applyNumberFormat="1" applyFont="1" applyBorder="1" applyAlignment="1">
      <alignment horizontal="left" vertical="center"/>
    </xf>
    <xf numFmtId="1" fontId="22" fillId="0" borderId="23" xfId="0" applyNumberFormat="1" applyFont="1" applyBorder="1" applyAlignment="1">
      <alignment horizontal="left"/>
    </xf>
    <xf numFmtId="1" fontId="23" fillId="0" borderId="19" xfId="0" applyNumberFormat="1" applyFont="1" applyFill="1" applyBorder="1" applyAlignment="1">
      <alignment horizontal="left"/>
    </xf>
    <xf numFmtId="1" fontId="36" fillId="0" borderId="0" xfId="0" applyNumberFormat="1" applyFont="1" applyAlignment="1">
      <alignment horizontal="left"/>
    </xf>
    <xf numFmtId="1" fontId="21" fillId="0" borderId="38" xfId="0" applyNumberFormat="1" applyFont="1" applyBorder="1" applyAlignment="1">
      <alignment horizontal="left"/>
    </xf>
    <xf numFmtId="1" fontId="36" fillId="0" borderId="56" xfId="0" applyNumberFormat="1" applyFont="1" applyBorder="1" applyAlignment="1">
      <alignment horizontal="left" vertical="center"/>
    </xf>
    <xf numFmtId="1" fontId="36" fillId="0" borderId="61" xfId="0" applyNumberFormat="1" applyFont="1" applyBorder="1" applyAlignment="1">
      <alignment horizontal="left" vertical="center"/>
    </xf>
    <xf numFmtId="1" fontId="36" fillId="0" borderId="53" xfId="0" applyNumberFormat="1" applyFont="1" applyBorder="1" applyAlignment="1">
      <alignment horizontal="left" vertical="center"/>
    </xf>
    <xf numFmtId="1" fontId="36" fillId="0" borderId="54" xfId="0" applyNumberFormat="1" applyFont="1" applyBorder="1" applyAlignment="1">
      <alignment horizontal="left" vertical="center"/>
    </xf>
    <xf numFmtId="1" fontId="36" fillId="0" borderId="64" xfId="0" applyNumberFormat="1" applyFont="1" applyBorder="1" applyAlignment="1">
      <alignment horizontal="left"/>
    </xf>
    <xf numFmtId="1" fontId="36" fillId="0" borderId="65" xfId="0" applyNumberFormat="1" applyFont="1" applyBorder="1" applyAlignment="1">
      <alignment horizontal="left"/>
    </xf>
    <xf numFmtId="1" fontId="36" fillId="0" borderId="56" xfId="0" applyNumberFormat="1" applyFont="1" applyBorder="1" applyAlignment="1">
      <alignment horizontal="left"/>
    </xf>
    <xf numFmtId="1" fontId="36" fillId="0" borderId="54" xfId="0" applyNumberFormat="1" applyFont="1" applyBorder="1" applyAlignment="1">
      <alignment horizontal="left"/>
    </xf>
    <xf numFmtId="1" fontId="36" fillId="0" borderId="54" xfId="1" applyNumberFormat="1" applyFont="1" applyBorder="1" applyAlignment="1">
      <alignment horizontal="left"/>
    </xf>
    <xf numFmtId="1" fontId="36" fillId="0" borderId="53" xfId="0" applyNumberFormat="1" applyFont="1" applyBorder="1" applyAlignment="1">
      <alignment horizontal="left"/>
    </xf>
    <xf numFmtId="1" fontId="33" fillId="0" borderId="61" xfId="0" applyNumberFormat="1" applyFont="1" applyBorder="1" applyAlignment="1">
      <alignment horizontal="left"/>
    </xf>
    <xf numFmtId="1" fontId="38" fillId="0" borderId="0" xfId="0" applyNumberFormat="1" applyFont="1" applyAlignment="1">
      <alignment horizontal="left"/>
    </xf>
    <xf numFmtId="1" fontId="37" fillId="0" borderId="0" xfId="0" applyNumberFormat="1" applyFont="1" applyAlignment="1">
      <alignment horizontal="left"/>
    </xf>
    <xf numFmtId="0" fontId="36" fillId="0" borderId="53" xfId="0" applyFont="1" applyBorder="1" applyAlignment="1">
      <alignment horizontal="left"/>
    </xf>
    <xf numFmtId="1" fontId="36" fillId="0" borderId="57" xfId="0" applyNumberFormat="1" applyFont="1" applyBorder="1" applyAlignment="1">
      <alignment horizontal="left"/>
    </xf>
    <xf numFmtId="0" fontId="37" fillId="0" borderId="0" xfId="0" applyFont="1" applyAlignment="1">
      <alignment horizontal="left"/>
    </xf>
    <xf numFmtId="2" fontId="37" fillId="0" borderId="61" xfId="0" applyNumberFormat="1" applyFont="1" applyBorder="1" applyAlignment="1">
      <alignment horizontal="left"/>
    </xf>
    <xf numFmtId="2" fontId="37" fillId="0" borderId="55" xfId="0" applyNumberFormat="1" applyFont="1" applyBorder="1" applyAlignment="1">
      <alignment horizontal="left"/>
    </xf>
    <xf numFmtId="1" fontId="37" fillId="0" borderId="57" xfId="0" applyNumberFormat="1" applyFont="1" applyBorder="1" applyAlignment="1">
      <alignment horizontal="left"/>
    </xf>
    <xf numFmtId="1" fontId="37" fillId="0" borderId="55" xfId="0" applyNumberFormat="1" applyFont="1" applyBorder="1" applyAlignment="1">
      <alignment horizontal="left"/>
    </xf>
    <xf numFmtId="1" fontId="37" fillId="0" borderId="61" xfId="0" applyNumberFormat="1" applyFont="1" applyBorder="1" applyAlignment="1">
      <alignment horizontal="left"/>
    </xf>
    <xf numFmtId="2" fontId="37" fillId="0" borderId="56" xfId="0" applyNumberFormat="1" applyFont="1" applyBorder="1" applyAlignment="1">
      <alignment horizontal="left"/>
    </xf>
    <xf numFmtId="2" fontId="37" fillId="0" borderId="66" xfId="0" applyNumberFormat="1" applyFont="1" applyBorder="1" applyAlignment="1">
      <alignment horizontal="left"/>
    </xf>
    <xf numFmtId="0" fontId="36" fillId="0" borderId="57" xfId="0" applyFont="1" applyBorder="1" applyAlignment="1">
      <alignment horizontal="left"/>
    </xf>
    <xf numFmtId="0" fontId="33" fillId="0" borderId="45" xfId="0" applyFont="1" applyBorder="1" applyAlignment="1">
      <alignment horizontal="left"/>
    </xf>
    <xf numFmtId="0" fontId="34" fillId="0" borderId="63" xfId="0" applyFont="1" applyBorder="1"/>
    <xf numFmtId="0" fontId="32" fillId="0" borderId="63" xfId="0" applyFont="1" applyBorder="1" applyAlignment="1">
      <alignment horizontal="left"/>
    </xf>
    <xf numFmtId="0" fontId="32" fillId="0" borderId="31" xfId="0" applyFont="1" applyBorder="1" applyAlignment="1">
      <alignment horizontal="left"/>
    </xf>
    <xf numFmtId="0" fontId="32" fillId="0" borderId="67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6" fillId="0" borderId="55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1" fontId="23" fillId="0" borderId="64" xfId="0" applyNumberFormat="1" applyFont="1" applyBorder="1" applyAlignment="1">
      <alignment horizontal="left"/>
    </xf>
    <xf numFmtId="1" fontId="23" fillId="0" borderId="66" xfId="0" applyNumberFormat="1" applyFont="1" applyBorder="1" applyAlignment="1">
      <alignment horizontal="left"/>
    </xf>
    <xf numFmtId="1" fontId="37" fillId="0" borderId="56" xfId="0" applyNumberFormat="1" applyFont="1" applyBorder="1" applyAlignment="1">
      <alignment horizontal="left"/>
    </xf>
    <xf numFmtId="1" fontId="37" fillId="0" borderId="64" xfId="0" applyNumberFormat="1" applyFont="1" applyBorder="1" applyAlignment="1">
      <alignment horizontal="left"/>
    </xf>
    <xf numFmtId="1" fontId="37" fillId="0" borderId="66" xfId="0" applyNumberFormat="1" applyFont="1" applyBorder="1" applyAlignment="1">
      <alignment horizontal="left"/>
    </xf>
    <xf numFmtId="1" fontId="23" fillId="0" borderId="68" xfId="0" applyNumberFormat="1" applyFont="1" applyBorder="1" applyAlignment="1">
      <alignment horizontal="left"/>
    </xf>
    <xf numFmtId="1" fontId="23" fillId="0" borderId="49" xfId="0" applyNumberFormat="1" applyFont="1" applyBorder="1" applyAlignment="1">
      <alignment horizontal="left"/>
    </xf>
    <xf numFmtId="1" fontId="23" fillId="0" borderId="50" xfId="0" applyNumberFormat="1" applyFont="1" applyBorder="1" applyAlignment="1">
      <alignment horizontal="left"/>
    </xf>
    <xf numFmtId="1" fontId="23" fillId="0" borderId="54" xfId="0" applyNumberFormat="1" applyFont="1" applyBorder="1" applyAlignment="1">
      <alignment horizontal="left"/>
    </xf>
    <xf numFmtId="1" fontId="37" fillId="0" borderId="54" xfId="0" applyNumberFormat="1" applyFont="1" applyBorder="1" applyAlignment="1">
      <alignment horizontal="left"/>
    </xf>
    <xf numFmtId="0" fontId="23" fillId="0" borderId="56" xfId="0" applyFont="1" applyBorder="1" applyAlignment="1">
      <alignment horizontal="left"/>
    </xf>
    <xf numFmtId="2" fontId="23" fillId="0" borderId="69" xfId="0" applyNumberFormat="1" applyFont="1" applyBorder="1" applyAlignment="1">
      <alignment horizontal="left"/>
    </xf>
    <xf numFmtId="2" fontId="37" fillId="0" borderId="35" xfId="0" applyNumberFormat="1" applyFont="1" applyBorder="1" applyAlignment="1">
      <alignment horizontal="left"/>
    </xf>
    <xf numFmtId="0" fontId="36" fillId="0" borderId="61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3" fillId="0" borderId="66" xfId="0" applyFont="1" applyBorder="1" applyAlignment="1">
      <alignment horizontal="left"/>
    </xf>
    <xf numFmtId="2" fontId="23" fillId="0" borderId="49" xfId="0" applyNumberFormat="1" applyFont="1" applyBorder="1" applyAlignment="1">
      <alignment horizontal="left"/>
    </xf>
    <xf numFmtId="2" fontId="37" fillId="0" borderId="36" xfId="0" applyNumberFormat="1" applyFont="1" applyBorder="1" applyAlignment="1">
      <alignment horizontal="left"/>
    </xf>
    <xf numFmtId="1" fontId="36" fillId="0" borderId="53" xfId="0" applyNumberFormat="1" applyFont="1" applyBorder="1" applyAlignment="1">
      <alignment horizontal="center" vertical="justify" wrapText="1"/>
    </xf>
    <xf numFmtId="1" fontId="17" fillId="0" borderId="12" xfId="0" applyNumberFormat="1" applyFont="1" applyBorder="1" applyAlignment="1">
      <alignment horizontal="left"/>
    </xf>
    <xf numFmtId="1" fontId="17" fillId="0" borderId="31" xfId="0" applyNumberFormat="1" applyFont="1" applyBorder="1" applyAlignment="1">
      <alignment horizontal="left"/>
    </xf>
    <xf numFmtId="2" fontId="14" fillId="0" borderId="3" xfId="2" applyNumberFormat="1" applyFont="1" applyBorder="1" applyAlignment="1">
      <alignment horizontal="left"/>
    </xf>
    <xf numFmtId="2" fontId="13" fillId="0" borderId="28" xfId="0" applyNumberFormat="1" applyFont="1" applyBorder="1" applyAlignment="1">
      <alignment horizontal="left"/>
    </xf>
    <xf numFmtId="2" fontId="13" fillId="0" borderId="23" xfId="0" applyNumberFormat="1" applyFont="1" applyBorder="1" applyAlignment="1">
      <alignment horizontal="left"/>
    </xf>
    <xf numFmtId="2" fontId="14" fillId="0" borderId="41" xfId="0" applyNumberFormat="1" applyFont="1" applyBorder="1" applyAlignment="1">
      <alignment horizontal="left"/>
    </xf>
    <xf numFmtId="2" fontId="13" fillId="0" borderId="7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left"/>
    </xf>
    <xf numFmtId="164" fontId="22" fillId="0" borderId="23" xfId="0" applyNumberFormat="1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2" fontId="18" fillId="0" borderId="13" xfId="1" applyNumberFormat="1" applyFont="1" applyBorder="1" applyAlignment="1">
      <alignment horizontal="left"/>
    </xf>
    <xf numFmtId="2" fontId="18" fillId="0" borderId="23" xfId="1" applyNumberFormat="1" applyFont="1" applyBorder="1" applyAlignment="1">
      <alignment horizontal="left"/>
    </xf>
    <xf numFmtId="2" fontId="18" fillId="0" borderId="41" xfId="1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 vertical="center"/>
    </xf>
    <xf numFmtId="1" fontId="13" fillId="0" borderId="20" xfId="0" applyNumberFormat="1" applyFont="1" applyBorder="1" applyAlignment="1">
      <alignment horizontal="left"/>
    </xf>
    <xf numFmtId="1" fontId="13" fillId="0" borderId="22" xfId="0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/>
    </xf>
    <xf numFmtId="1" fontId="13" fillId="0" borderId="20" xfId="0" applyNumberFormat="1" applyFont="1" applyFill="1" applyBorder="1" applyAlignment="1">
      <alignment horizontal="left"/>
    </xf>
    <xf numFmtId="1" fontId="13" fillId="0" borderId="21" xfId="1" applyNumberFormat="1" applyFont="1" applyBorder="1" applyAlignment="1">
      <alignment horizontal="left"/>
    </xf>
    <xf numFmtId="1" fontId="13" fillId="0" borderId="19" xfId="1" applyNumberFormat="1" applyFont="1" applyBorder="1" applyAlignment="1">
      <alignment horizontal="left"/>
    </xf>
    <xf numFmtId="1" fontId="14" fillId="0" borderId="17" xfId="0" applyNumberFormat="1" applyFont="1" applyBorder="1" applyAlignment="1">
      <alignment horizontal="left"/>
    </xf>
    <xf numFmtId="1" fontId="25" fillId="0" borderId="56" xfId="0" applyNumberFormat="1" applyFont="1" applyBorder="1" applyAlignment="1">
      <alignment horizontal="left" vertical="center"/>
    </xf>
    <xf numFmtId="1" fontId="25" fillId="0" borderId="61" xfId="0" applyNumberFormat="1" applyFont="1" applyBorder="1" applyAlignment="1">
      <alignment horizontal="left" vertical="center"/>
    </xf>
    <xf numFmtId="1" fontId="25" fillId="0" borderId="64" xfId="0" applyNumberFormat="1" applyFont="1" applyBorder="1" applyAlignment="1">
      <alignment horizontal="left" vertical="center"/>
    </xf>
    <xf numFmtId="1" fontId="25" fillId="0" borderId="66" xfId="0" applyNumberFormat="1" applyFont="1" applyBorder="1" applyAlignment="1">
      <alignment horizontal="left" vertical="center"/>
    </xf>
    <xf numFmtId="1" fontId="25" fillId="0" borderId="54" xfId="0" applyNumberFormat="1" applyFont="1" applyBorder="1" applyAlignment="1">
      <alignment horizontal="left" vertical="center"/>
    </xf>
    <xf numFmtId="1" fontId="25" fillId="0" borderId="53" xfId="0" applyNumberFormat="1" applyFont="1" applyBorder="1" applyAlignment="1">
      <alignment horizontal="left" vertical="center"/>
    </xf>
    <xf numFmtId="1" fontId="25" fillId="0" borderId="56" xfId="0" applyNumberFormat="1" applyFont="1" applyBorder="1" applyAlignment="1">
      <alignment horizontal="left"/>
    </xf>
    <xf numFmtId="1" fontId="25" fillId="0" borderId="66" xfId="0" applyNumberFormat="1" applyFont="1" applyBorder="1" applyAlignment="1">
      <alignment horizontal="left"/>
    </xf>
    <xf numFmtId="1" fontId="26" fillId="0" borderId="56" xfId="1" applyNumberFormat="1" applyFont="1" applyBorder="1" applyAlignment="1">
      <alignment horizontal="left"/>
    </xf>
    <xf numFmtId="1" fontId="26" fillId="0" borderId="57" xfId="1" applyNumberFormat="1" applyFont="1" applyBorder="1" applyAlignment="1">
      <alignment horizontal="left"/>
    </xf>
    <xf numFmtId="1" fontId="25" fillId="0" borderId="57" xfId="0" applyNumberFormat="1" applyFont="1" applyBorder="1" applyAlignment="1">
      <alignment horizontal="left"/>
    </xf>
    <xf numFmtId="1" fontId="14" fillId="0" borderId="19" xfId="0" applyNumberFormat="1" applyFont="1" applyBorder="1" applyAlignment="1">
      <alignment horizontal="left" vertical="center"/>
    </xf>
    <xf numFmtId="1" fontId="14" fillId="0" borderId="24" xfId="0" applyNumberFormat="1" applyFont="1" applyBorder="1" applyAlignment="1">
      <alignment horizontal="left" vertical="center"/>
    </xf>
    <xf numFmtId="1" fontId="14" fillId="0" borderId="20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left"/>
    </xf>
    <xf numFmtId="1" fontId="13" fillId="0" borderId="19" xfId="0" applyNumberFormat="1" applyFont="1" applyFill="1" applyBorder="1" applyAlignment="1">
      <alignment horizontal="left" vertical="top" wrapText="1"/>
    </xf>
    <xf numFmtId="1" fontId="14" fillId="0" borderId="20" xfId="0" applyNumberFormat="1" applyFont="1" applyBorder="1" applyAlignment="1">
      <alignment horizontal="left" vertical="center"/>
    </xf>
    <xf numFmtId="1" fontId="14" fillId="0" borderId="19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 wrapText="1"/>
    </xf>
    <xf numFmtId="1" fontId="18" fillId="0" borderId="1" xfId="0" applyNumberFormat="1" applyFont="1" applyFill="1" applyBorder="1" applyAlignment="1">
      <alignment horizontal="left"/>
    </xf>
    <xf numFmtId="1" fontId="36" fillId="0" borderId="11" xfId="0" applyNumberFormat="1" applyFont="1" applyBorder="1" applyAlignment="1">
      <alignment horizontal="left"/>
    </xf>
    <xf numFmtId="1" fontId="36" fillId="0" borderId="31" xfId="0" applyNumberFormat="1" applyFont="1" applyBorder="1" applyAlignment="1">
      <alignment horizontal="left"/>
    </xf>
    <xf numFmtId="3" fontId="36" fillId="0" borderId="31" xfId="0" applyNumberFormat="1" applyFont="1" applyBorder="1" applyAlignment="1">
      <alignment horizontal="left"/>
    </xf>
    <xf numFmtId="1" fontId="17" fillId="0" borderId="67" xfId="0" applyNumberFormat="1" applyFont="1" applyBorder="1" applyAlignment="1">
      <alignment horizontal="left"/>
    </xf>
    <xf numFmtId="0" fontId="19" fillId="0" borderId="70" xfId="0" applyFont="1" applyBorder="1" applyAlignment="1">
      <alignment horizontal="center" vertical="center"/>
    </xf>
    <xf numFmtId="0" fontId="22" fillId="0" borderId="30" xfId="0" applyFont="1" applyBorder="1" applyAlignment="1">
      <alignment horizontal="left"/>
    </xf>
    <xf numFmtId="0" fontId="17" fillId="0" borderId="30" xfId="0" applyFont="1" applyBorder="1"/>
    <xf numFmtId="2" fontId="18" fillId="0" borderId="38" xfId="0" applyNumberFormat="1" applyFont="1" applyBorder="1" applyAlignment="1">
      <alignment vertical="center"/>
    </xf>
    <xf numFmtId="2" fontId="18" fillId="0" borderId="24" xfId="0" applyNumberFormat="1" applyFont="1" applyBorder="1" applyAlignment="1">
      <alignment horizontal="right"/>
    </xf>
    <xf numFmtId="2" fontId="18" fillId="0" borderId="38" xfId="0" applyNumberFormat="1" applyFont="1" applyBorder="1" applyAlignment="1">
      <alignment horizontal="right"/>
    </xf>
    <xf numFmtId="2" fontId="13" fillId="0" borderId="24" xfId="0" applyNumberFormat="1" applyFont="1" applyBorder="1" applyAlignment="1">
      <alignment horizontal="right"/>
    </xf>
    <xf numFmtId="2" fontId="23" fillId="0" borderId="24" xfId="0" applyNumberFormat="1" applyFont="1" applyBorder="1" applyAlignment="1">
      <alignment horizontal="left"/>
    </xf>
    <xf numFmtId="2" fontId="18" fillId="0" borderId="24" xfId="1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 wrapText="1"/>
    </xf>
    <xf numFmtId="3" fontId="22" fillId="0" borderId="24" xfId="0" applyNumberFormat="1" applyFont="1" applyBorder="1" applyAlignment="1">
      <alignment horizontal="right"/>
    </xf>
    <xf numFmtId="2" fontId="18" fillId="0" borderId="24" xfId="0" applyNumberFormat="1" applyFont="1" applyFill="1" applyBorder="1" applyAlignment="1">
      <alignment horizontal="right"/>
    </xf>
    <xf numFmtId="0" fontId="39" fillId="0" borderId="61" xfId="0" applyFont="1" applyBorder="1" applyAlignment="1">
      <alignment horizontal="center" vertical="center"/>
    </xf>
    <xf numFmtId="1" fontId="19" fillId="0" borderId="7" xfId="0" applyNumberFormat="1" applyFont="1" applyBorder="1" applyAlignment="1">
      <alignment horizontal="left" vertical="center"/>
    </xf>
    <xf numFmtId="1" fontId="24" fillId="0" borderId="71" xfId="0" applyNumberFormat="1" applyFont="1" applyBorder="1" applyAlignment="1">
      <alignment horizontal="left"/>
    </xf>
    <xf numFmtId="1" fontId="20" fillId="0" borderId="4" xfId="0" applyNumberFormat="1" applyFont="1" applyBorder="1" applyAlignment="1">
      <alignment horizontal="left"/>
    </xf>
    <xf numFmtId="1" fontId="14" fillId="0" borderId="0" xfId="0" applyNumberFormat="1" applyFont="1" applyAlignment="1">
      <alignment horizontal="left"/>
    </xf>
    <xf numFmtId="1" fontId="14" fillId="0" borderId="4" xfId="2" applyNumberFormat="1" applyFont="1" applyBorder="1" applyAlignment="1">
      <alignment horizontal="left"/>
    </xf>
    <xf numFmtId="1" fontId="14" fillId="0" borderId="3" xfId="0" applyNumberFormat="1" applyFont="1" applyFill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14" fillId="0" borderId="28" xfId="0" applyNumberFormat="1" applyFont="1" applyBorder="1" applyAlignment="1">
      <alignment horizontal="left" vertical="center"/>
    </xf>
    <xf numFmtId="1" fontId="20" fillId="0" borderId="8" xfId="0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 vertical="center"/>
    </xf>
    <xf numFmtId="0" fontId="25" fillId="0" borderId="53" xfId="0" applyFont="1" applyBorder="1" applyAlignment="1">
      <alignment horizontal="left"/>
    </xf>
    <xf numFmtId="1" fontId="13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69" xfId="0" applyNumberFormat="1" applyFont="1" applyBorder="1" applyAlignment="1">
      <alignment horizontal="left" vertical="center"/>
    </xf>
    <xf numFmtId="1" fontId="4" fillId="0" borderId="50" xfId="0" applyNumberFormat="1" applyFont="1" applyBorder="1" applyAlignment="1">
      <alignment horizontal="left"/>
    </xf>
    <xf numFmtId="1" fontId="4" fillId="0" borderId="49" xfId="0" applyNumberFormat="1" applyFont="1" applyBorder="1" applyAlignment="1">
      <alignment horizontal="left"/>
    </xf>
    <xf numFmtId="1" fontId="4" fillId="0" borderId="69" xfId="0" applyNumberFormat="1" applyFont="1" applyBorder="1" applyAlignment="1">
      <alignment horizontal="left"/>
    </xf>
    <xf numFmtId="1" fontId="1" fillId="0" borderId="50" xfId="0" applyNumberFormat="1" applyFont="1" applyBorder="1" applyAlignment="1">
      <alignment horizontal="left"/>
    </xf>
    <xf numFmtId="1" fontId="1" fillId="0" borderId="49" xfId="0" applyNumberFormat="1" applyFont="1" applyBorder="1" applyAlignment="1">
      <alignment horizontal="left"/>
    </xf>
    <xf numFmtId="1" fontId="1" fillId="0" borderId="69" xfId="0" applyNumberFormat="1" applyFont="1" applyBorder="1" applyAlignment="1">
      <alignment horizontal="left"/>
    </xf>
    <xf numFmtId="2" fontId="4" fillId="0" borderId="49" xfId="0" applyNumberFormat="1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1" fontId="4" fillId="0" borderId="49" xfId="0" applyNumberFormat="1" applyFont="1" applyFill="1" applyBorder="1" applyAlignment="1">
      <alignment horizontal="left"/>
    </xf>
    <xf numFmtId="1" fontId="4" fillId="0" borderId="68" xfId="1" applyNumberFormat="1" applyFont="1" applyBorder="1" applyAlignment="1">
      <alignment horizontal="left"/>
    </xf>
    <xf numFmtId="1" fontId="4" fillId="0" borderId="49" xfId="1" applyNumberFormat="1" applyFont="1" applyBorder="1" applyAlignment="1">
      <alignment horizontal="left"/>
    </xf>
    <xf numFmtId="1" fontId="4" fillId="0" borderId="69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 vertical="center"/>
    </xf>
    <xf numFmtId="1" fontId="25" fillId="0" borderId="65" xfId="0" applyNumberFormat="1" applyFont="1" applyBorder="1" applyAlignment="1">
      <alignment horizontal="left" vertical="center"/>
    </xf>
    <xf numFmtId="1" fontId="25" fillId="0" borderId="57" xfId="0" applyNumberFormat="1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/>
    </xf>
    <xf numFmtId="1" fontId="14" fillId="0" borderId="20" xfId="2" applyNumberFormat="1" applyFont="1" applyBorder="1" applyAlignment="1">
      <alignment horizontal="left"/>
    </xf>
    <xf numFmtId="1" fontId="20" fillId="0" borderId="20" xfId="0" applyNumberFormat="1" applyFont="1" applyBorder="1" applyAlignment="1">
      <alignment horizontal="left"/>
    </xf>
    <xf numFmtId="1" fontId="14" fillId="0" borderId="22" xfId="0" applyNumberFormat="1" applyFont="1" applyFill="1" applyBorder="1" applyAlignment="1">
      <alignment horizontal="left"/>
    </xf>
    <xf numFmtId="1" fontId="14" fillId="0" borderId="20" xfId="1" applyNumberFormat="1" applyFont="1" applyBorder="1" applyAlignment="1">
      <alignment horizontal="left"/>
    </xf>
    <xf numFmtId="1" fontId="14" fillId="0" borderId="69" xfId="0" applyNumberFormat="1" applyFont="1" applyBorder="1" applyAlignment="1">
      <alignment horizontal="left" vertical="center"/>
    </xf>
    <xf numFmtId="1" fontId="14" fillId="0" borderId="49" xfId="0" applyNumberFormat="1" applyFont="1" applyBorder="1" applyAlignment="1">
      <alignment horizontal="left" vertical="center"/>
    </xf>
    <xf numFmtId="1" fontId="13" fillId="0" borderId="50" xfId="0" applyNumberFormat="1" applyFont="1" applyBorder="1" applyAlignment="1">
      <alignment horizontal="left"/>
    </xf>
    <xf numFmtId="1" fontId="13" fillId="0" borderId="68" xfId="0" applyNumberFormat="1" applyFont="1" applyBorder="1" applyAlignment="1">
      <alignment horizontal="left"/>
    </xf>
    <xf numFmtId="1" fontId="13" fillId="0" borderId="49" xfId="0" applyNumberFormat="1" applyFont="1" applyBorder="1" applyAlignment="1">
      <alignment horizontal="left"/>
    </xf>
    <xf numFmtId="2" fontId="13" fillId="0" borderId="49" xfId="0" applyNumberFormat="1" applyFont="1" applyBorder="1" applyAlignment="1">
      <alignment horizontal="left"/>
    </xf>
    <xf numFmtId="1" fontId="13" fillId="0" borderId="72" xfId="0" applyNumberFormat="1" applyFont="1" applyBorder="1" applyAlignment="1">
      <alignment horizontal="left"/>
    </xf>
    <xf numFmtId="0" fontId="13" fillId="0" borderId="69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5" fillId="0" borderId="50" xfId="0" applyFont="1" applyBorder="1" applyAlignment="1">
      <alignment horizontal="left"/>
    </xf>
    <xf numFmtId="1" fontId="13" fillId="0" borderId="49" xfId="0" applyNumberFormat="1" applyFont="1" applyFill="1" applyBorder="1" applyAlignment="1">
      <alignment horizontal="left"/>
    </xf>
    <xf numFmtId="1" fontId="13" fillId="0" borderId="50" xfId="1" applyNumberFormat="1" applyFont="1" applyBorder="1" applyAlignment="1">
      <alignment horizontal="left"/>
    </xf>
    <xf numFmtId="1" fontId="13" fillId="0" borderId="49" xfId="1" applyNumberFormat="1" applyFont="1" applyBorder="1" applyAlignment="1">
      <alignment horizontal="left"/>
    </xf>
    <xf numFmtId="1" fontId="14" fillId="0" borderId="50" xfId="0" applyNumberFormat="1" applyFont="1" applyBorder="1" applyAlignment="1">
      <alignment horizontal="left" vertical="center"/>
    </xf>
    <xf numFmtId="1" fontId="14" fillId="0" borderId="17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58" xfId="0" applyFont="1" applyBorder="1" applyAlignment="1">
      <alignment horizontal="left"/>
    </xf>
    <xf numFmtId="0" fontId="17" fillId="0" borderId="59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5" fillId="0" borderId="71" xfId="0" applyFont="1" applyBorder="1" applyAlignment="1">
      <alignment horizontal="left"/>
    </xf>
    <xf numFmtId="0" fontId="33" fillId="0" borderId="73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9" fillId="0" borderId="10" xfId="0" applyFont="1" applyBorder="1" applyAlignment="1">
      <alignment vertical="center"/>
    </xf>
    <xf numFmtId="2" fontId="18" fillId="0" borderId="16" xfId="0" applyNumberFormat="1" applyFont="1" applyBorder="1" applyAlignment="1">
      <alignment vertical="center"/>
    </xf>
    <xf numFmtId="2" fontId="19" fillId="0" borderId="16" xfId="0" applyNumberFormat="1" applyFont="1" applyBorder="1" applyAlignment="1">
      <alignment vertical="center"/>
    </xf>
    <xf numFmtId="2" fontId="18" fillId="0" borderId="24" xfId="0" applyNumberFormat="1" applyFont="1" applyBorder="1" applyAlignment="1">
      <alignment vertical="center"/>
    </xf>
    <xf numFmtId="2" fontId="18" fillId="0" borderId="17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left"/>
    </xf>
    <xf numFmtId="164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4" fillId="0" borderId="33" xfId="0" applyFont="1" applyBorder="1" applyAlignment="1">
      <alignment horizontal="left" vertical="center"/>
    </xf>
    <xf numFmtId="2" fontId="18" fillId="0" borderId="15" xfId="1" applyNumberFormat="1" applyFont="1" applyBorder="1" applyAlignment="1">
      <alignment horizontal="right"/>
    </xf>
    <xf numFmtId="1" fontId="15" fillId="0" borderId="29" xfId="0" applyNumberFormat="1" applyFont="1" applyFill="1" applyBorder="1" applyAlignment="1">
      <alignment horizontal="left" vertical="center" wrapText="1"/>
    </xf>
    <xf numFmtId="1" fontId="15" fillId="0" borderId="29" xfId="0" applyNumberFormat="1" applyFont="1" applyFill="1" applyBorder="1" applyAlignment="1">
      <alignment horizontal="left" vertical="top" wrapText="1"/>
    </xf>
    <xf numFmtId="1" fontId="1" fillId="0" borderId="29" xfId="0" applyNumberFormat="1" applyFont="1" applyFill="1" applyBorder="1" applyAlignment="1">
      <alignment horizontal="left" vertical="top" wrapText="1"/>
    </xf>
    <xf numFmtId="1" fontId="4" fillId="0" borderId="29" xfId="0" applyNumberFormat="1" applyFont="1" applyFill="1" applyBorder="1" applyAlignment="1">
      <alignment horizontal="left" vertical="top" wrapText="1"/>
    </xf>
    <xf numFmtId="1" fontId="15" fillId="0" borderId="30" xfId="0" applyNumberFormat="1" applyFont="1" applyFill="1" applyBorder="1" applyAlignment="1">
      <alignment horizontal="left" vertical="top" wrapText="1"/>
    </xf>
    <xf numFmtId="2" fontId="13" fillId="0" borderId="6" xfId="0" applyNumberFormat="1" applyFont="1" applyBorder="1" applyAlignment="1">
      <alignment horizontal="left"/>
    </xf>
    <xf numFmtId="1" fontId="23" fillId="0" borderId="0" xfId="0" applyNumberFormat="1" applyFont="1" applyFill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2" fontId="25" fillId="0" borderId="8" xfId="0" applyNumberFormat="1" applyFont="1" applyBorder="1" applyAlignment="1">
      <alignment horizontal="left" vertical="center"/>
    </xf>
    <xf numFmtId="164" fontId="20" fillId="0" borderId="11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/>
    </xf>
    <xf numFmtId="1" fontId="13" fillId="0" borderId="69" xfId="0" applyNumberFormat="1" applyFont="1" applyBorder="1" applyAlignment="1">
      <alignment horizontal="left"/>
    </xf>
    <xf numFmtId="2" fontId="13" fillId="0" borderId="69" xfId="0" applyNumberFormat="1" applyFont="1" applyBorder="1" applyAlignment="1">
      <alignment horizontal="left"/>
    </xf>
    <xf numFmtId="2" fontId="18" fillId="0" borderId="28" xfId="0" applyNumberFormat="1" applyFont="1" applyFill="1" applyBorder="1" applyAlignment="1">
      <alignment horizontal="left"/>
    </xf>
    <xf numFmtId="2" fontId="18" fillId="0" borderId="13" xfId="0" applyNumberFormat="1" applyFont="1" applyFill="1" applyBorder="1" applyAlignment="1">
      <alignment horizontal="left"/>
    </xf>
    <xf numFmtId="2" fontId="18" fillId="0" borderId="23" xfId="0" applyNumberFormat="1" applyFont="1" applyFill="1" applyBorder="1" applyAlignment="1">
      <alignment horizontal="left"/>
    </xf>
    <xf numFmtId="2" fontId="18" fillId="0" borderId="41" xfId="0" applyNumberFormat="1" applyFont="1" applyFill="1" applyBorder="1" applyAlignment="1">
      <alignment horizontal="left"/>
    </xf>
    <xf numFmtId="164" fontId="22" fillId="0" borderId="7" xfId="0" applyNumberFormat="1" applyFont="1" applyBorder="1" applyAlignment="1">
      <alignment horizontal="left"/>
    </xf>
    <xf numFmtId="164" fontId="22" fillId="0" borderId="19" xfId="0" applyNumberFormat="1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1" fontId="23" fillId="0" borderId="16" xfId="0" applyNumberFormat="1" applyFont="1" applyBorder="1" applyAlignment="1">
      <alignment horizontal="left"/>
    </xf>
    <xf numFmtId="1" fontId="23" fillId="0" borderId="3" xfId="0" applyNumberFormat="1" applyFont="1" applyFill="1" applyBorder="1" applyAlignment="1">
      <alignment horizontal="left"/>
    </xf>
    <xf numFmtId="1" fontId="23" fillId="0" borderId="22" xfId="0" applyNumberFormat="1" applyFont="1" applyFill="1" applyBorder="1" applyAlignment="1">
      <alignment horizontal="left"/>
    </xf>
    <xf numFmtId="1" fontId="39" fillId="0" borderId="70" xfId="0" applyNumberFormat="1" applyFont="1" applyFill="1" applyBorder="1" applyAlignment="1">
      <alignment horizontal="left"/>
    </xf>
    <xf numFmtId="1" fontId="21" fillId="0" borderId="71" xfId="0" applyNumberFormat="1" applyFont="1" applyBorder="1" applyAlignment="1">
      <alignment horizontal="left"/>
    </xf>
    <xf numFmtId="1" fontId="17" fillId="0" borderId="73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18" fillId="0" borderId="32" xfId="0" applyNumberFormat="1" applyFont="1" applyBorder="1" applyAlignment="1">
      <alignment horizontal="left" vertical="center"/>
    </xf>
    <xf numFmtId="1" fontId="23" fillId="0" borderId="15" xfId="0" applyNumberFormat="1" applyFont="1" applyBorder="1" applyAlignment="1">
      <alignment horizontal="left"/>
    </xf>
    <xf numFmtId="2" fontId="23" fillId="0" borderId="3" xfId="0" applyNumberFormat="1" applyFont="1" applyFill="1" applyBorder="1" applyAlignment="1">
      <alignment horizontal="left"/>
    </xf>
    <xf numFmtId="2" fontId="23" fillId="0" borderId="3" xfId="1" applyNumberFormat="1" applyFont="1" applyBorder="1" applyAlignment="1">
      <alignment horizontal="left"/>
    </xf>
    <xf numFmtId="1" fontId="23" fillId="0" borderId="16" xfId="1" applyNumberFormat="1" applyFont="1" applyBorder="1" applyAlignment="1">
      <alignment horizontal="left"/>
    </xf>
    <xf numFmtId="1" fontId="36" fillId="0" borderId="63" xfId="1" applyNumberFormat="1" applyFont="1" applyBorder="1" applyAlignment="1">
      <alignment horizontal="left"/>
    </xf>
    <xf numFmtId="1" fontId="40" fillId="0" borderId="30" xfId="0" applyNumberFormat="1" applyFont="1" applyFill="1" applyBorder="1" applyAlignment="1">
      <alignment horizontal="left" vertical="top" wrapText="1"/>
    </xf>
    <xf numFmtId="1" fontId="40" fillId="0" borderId="12" xfId="0" applyNumberFormat="1" applyFont="1" applyFill="1" applyBorder="1" applyAlignment="1">
      <alignment horizontal="left" vertical="center"/>
    </xf>
    <xf numFmtId="1" fontId="40" fillId="0" borderId="22" xfId="0" applyNumberFormat="1" applyFont="1" applyFill="1" applyBorder="1" applyAlignment="1">
      <alignment horizontal="left" vertical="center"/>
    </xf>
    <xf numFmtId="1" fontId="40" fillId="0" borderId="19" xfId="0" applyNumberFormat="1" applyFont="1" applyBorder="1" applyAlignment="1">
      <alignment horizontal="left" vertical="center"/>
    </xf>
    <xf numFmtId="1" fontId="40" fillId="0" borderId="19" xfId="0" applyNumberFormat="1" applyFont="1" applyFill="1" applyBorder="1" applyAlignment="1">
      <alignment horizontal="left" vertical="center"/>
    </xf>
    <xf numFmtId="1" fontId="41" fillId="0" borderId="2" xfId="1" applyNumberFormat="1" applyFont="1" applyBorder="1" applyAlignment="1">
      <alignment horizontal="left"/>
    </xf>
    <xf numFmtId="1" fontId="40" fillId="0" borderId="0" xfId="0" applyNumberFormat="1" applyFont="1" applyFill="1" applyAlignment="1">
      <alignment horizontal="left"/>
    </xf>
    <xf numFmtId="1" fontId="41" fillId="0" borderId="29" xfId="0" applyNumberFormat="1" applyFont="1" applyFill="1" applyBorder="1" applyAlignment="1">
      <alignment horizontal="left" vertical="top" wrapText="1"/>
    </xf>
    <xf numFmtId="1" fontId="40" fillId="0" borderId="1" xfId="0" applyNumberFormat="1" applyFont="1" applyBorder="1" applyAlignment="1">
      <alignment horizontal="left" vertical="center"/>
    </xf>
    <xf numFmtId="1" fontId="40" fillId="0" borderId="15" xfId="0" applyNumberFormat="1" applyFont="1" applyBorder="1" applyAlignment="1">
      <alignment horizontal="left" vertical="center"/>
    </xf>
    <xf numFmtId="1" fontId="41" fillId="0" borderId="0" xfId="0" applyNumberFormat="1" applyFont="1" applyAlignment="1">
      <alignment horizontal="left"/>
    </xf>
    <xf numFmtId="1" fontId="41" fillId="0" borderId="1" xfId="0" applyNumberFormat="1" applyFont="1" applyBorder="1" applyAlignment="1">
      <alignment horizontal="left" vertical="center"/>
    </xf>
    <xf numFmtId="0" fontId="42" fillId="0" borderId="29" xfId="0" applyFont="1" applyBorder="1" applyAlignment="1">
      <alignment horizontal="left"/>
    </xf>
    <xf numFmtId="0" fontId="43" fillId="0" borderId="29" xfId="0" applyFont="1" applyBorder="1"/>
    <xf numFmtId="2" fontId="44" fillId="0" borderId="15" xfId="0" applyNumberFormat="1" applyFont="1" applyBorder="1" applyAlignment="1">
      <alignment vertical="center"/>
    </xf>
    <xf numFmtId="2" fontId="44" fillId="0" borderId="16" xfId="0" applyNumberFormat="1" applyFont="1" applyBorder="1" applyAlignment="1">
      <alignment vertical="center"/>
    </xf>
    <xf numFmtId="2" fontId="44" fillId="0" borderId="16" xfId="0" applyNumberFormat="1" applyFont="1" applyBorder="1" applyAlignment="1">
      <alignment horizontal="right"/>
    </xf>
    <xf numFmtId="2" fontId="44" fillId="0" borderId="15" xfId="0" applyNumberFormat="1" applyFont="1" applyBorder="1" applyAlignment="1">
      <alignment horizontal="right"/>
    </xf>
    <xf numFmtId="2" fontId="40" fillId="0" borderId="16" xfId="0" applyNumberFormat="1" applyFont="1" applyBorder="1" applyAlignment="1">
      <alignment horizontal="right"/>
    </xf>
    <xf numFmtId="2" fontId="40" fillId="0" borderId="16" xfId="0" applyNumberFormat="1" applyFont="1" applyBorder="1" applyAlignment="1">
      <alignment horizontal="left"/>
    </xf>
    <xf numFmtId="2" fontId="44" fillId="0" borderId="16" xfId="1" applyNumberFormat="1" applyFont="1" applyBorder="1" applyAlignment="1">
      <alignment horizontal="right"/>
    </xf>
    <xf numFmtId="2" fontId="44" fillId="0" borderId="16" xfId="0" applyNumberFormat="1" applyFont="1" applyBorder="1" applyAlignment="1">
      <alignment horizontal="right" wrapText="1"/>
    </xf>
    <xf numFmtId="3" fontId="42" fillId="0" borderId="16" xfId="0" applyNumberFormat="1" applyFont="1" applyBorder="1" applyAlignment="1">
      <alignment horizontal="right"/>
    </xf>
    <xf numFmtId="2" fontId="44" fillId="0" borderId="16" xfId="0" applyNumberFormat="1" applyFont="1" applyFill="1" applyBorder="1" applyAlignment="1">
      <alignment horizontal="right"/>
    </xf>
    <xf numFmtId="0" fontId="43" fillId="0" borderId="0" xfId="0" applyFont="1"/>
    <xf numFmtId="0" fontId="42" fillId="0" borderId="61" xfId="0" applyFont="1" applyBorder="1" applyAlignment="1">
      <alignment horizontal="left"/>
    </xf>
    <xf numFmtId="0" fontId="43" fillId="0" borderId="61" xfId="0" applyFont="1" applyBorder="1"/>
    <xf numFmtId="2" fontId="44" fillId="0" borderId="53" xfId="0" applyNumberFormat="1" applyFont="1" applyBorder="1" applyAlignment="1">
      <alignment vertical="center"/>
    </xf>
    <xf numFmtId="2" fontId="44" fillId="0" borderId="57" xfId="0" applyNumberFormat="1" applyFont="1" applyBorder="1" applyAlignment="1">
      <alignment vertical="center"/>
    </xf>
    <xf numFmtId="2" fontId="44" fillId="0" borderId="57" xfId="0" applyNumberFormat="1" applyFont="1" applyBorder="1" applyAlignment="1">
      <alignment horizontal="right"/>
    </xf>
    <xf numFmtId="2" fontId="44" fillId="0" borderId="53" xfId="0" applyNumberFormat="1" applyFont="1" applyBorder="1" applyAlignment="1">
      <alignment horizontal="right"/>
    </xf>
    <xf numFmtId="2" fontId="40" fillId="0" borderId="57" xfId="0" applyNumberFormat="1" applyFont="1" applyBorder="1" applyAlignment="1">
      <alignment horizontal="right"/>
    </xf>
    <xf numFmtId="2" fontId="42" fillId="0" borderId="57" xfId="0" applyNumberFormat="1" applyFont="1" applyBorder="1" applyAlignment="1">
      <alignment horizontal="left"/>
    </xf>
    <xf numFmtId="2" fontId="44" fillId="0" borderId="57" xfId="1" applyNumberFormat="1" applyFont="1" applyBorder="1" applyAlignment="1">
      <alignment horizontal="right"/>
    </xf>
    <xf numFmtId="2" fontId="44" fillId="0" borderId="57" xfId="0" applyNumberFormat="1" applyFont="1" applyBorder="1" applyAlignment="1">
      <alignment horizontal="right" wrapText="1"/>
    </xf>
    <xf numFmtId="3" fontId="42" fillId="0" borderId="57" xfId="0" applyNumberFormat="1" applyFont="1" applyBorder="1" applyAlignment="1">
      <alignment horizontal="right"/>
    </xf>
    <xf numFmtId="2" fontId="44" fillId="0" borderId="57" xfId="0" applyNumberFormat="1" applyFont="1" applyFill="1" applyBorder="1" applyAlignment="1">
      <alignment horizontal="right"/>
    </xf>
    <xf numFmtId="2" fontId="44" fillId="0" borderId="16" xfId="2" applyNumberFormat="1" applyFont="1" applyBorder="1" applyAlignment="1">
      <alignment horizontal="right"/>
    </xf>
    <xf numFmtId="2" fontId="40" fillId="0" borderId="15" xfId="1" applyNumberFormat="1" applyFont="1" applyBorder="1" applyAlignment="1">
      <alignment horizontal="right"/>
    </xf>
    <xf numFmtId="2" fontId="40" fillId="0" borderId="16" xfId="1" applyNumberFormat="1" applyFont="1" applyBorder="1" applyAlignment="1">
      <alignment horizontal="right"/>
    </xf>
    <xf numFmtId="1" fontId="23" fillId="0" borderId="35" xfId="0" applyNumberFormat="1" applyFont="1" applyBorder="1" applyAlignment="1">
      <alignment horizontal="left"/>
    </xf>
    <xf numFmtId="2" fontId="45" fillId="0" borderId="19" xfId="0" applyNumberFormat="1" applyFont="1" applyBorder="1" applyAlignment="1">
      <alignment horizontal="left" vertical="center"/>
    </xf>
    <xf numFmtId="2" fontId="45" fillId="0" borderId="22" xfId="0" applyNumberFormat="1" applyFont="1" applyBorder="1" applyAlignment="1">
      <alignment horizontal="left" vertical="center"/>
    </xf>
    <xf numFmtId="2" fontId="14" fillId="0" borderId="20" xfId="0" applyNumberFormat="1" applyFont="1" applyBorder="1" applyAlignment="1">
      <alignment horizontal="left"/>
    </xf>
    <xf numFmtId="2" fontId="14" fillId="0" borderId="21" xfId="0" applyNumberFormat="1" applyFont="1" applyBorder="1" applyAlignment="1">
      <alignment horizontal="left"/>
    </xf>
    <xf numFmtId="2" fontId="14" fillId="0" borderId="23" xfId="0" applyNumberFormat="1" applyFont="1" applyBorder="1" applyAlignment="1">
      <alignment horizontal="left"/>
    </xf>
    <xf numFmtId="2" fontId="14" fillId="0" borderId="19" xfId="0" applyNumberFormat="1" applyFont="1" applyBorder="1" applyAlignment="1">
      <alignment horizontal="left"/>
    </xf>
    <xf numFmtId="2" fontId="14" fillId="0" borderId="22" xfId="0" applyNumberFormat="1" applyFont="1" applyBorder="1" applyAlignment="1">
      <alignment horizontal="left"/>
    </xf>
    <xf numFmtId="2" fontId="45" fillId="0" borderId="19" xfId="0" applyNumberFormat="1" applyFont="1" applyBorder="1" applyAlignment="1">
      <alignment horizontal="left"/>
    </xf>
    <xf numFmtId="2" fontId="45" fillId="0" borderId="21" xfId="0" applyNumberFormat="1" applyFont="1" applyBorder="1" applyAlignment="1">
      <alignment horizontal="left"/>
    </xf>
    <xf numFmtId="2" fontId="45" fillId="0" borderId="22" xfId="0" applyNumberFormat="1" applyFont="1" applyBorder="1" applyAlignment="1">
      <alignment horizontal="left"/>
    </xf>
    <xf numFmtId="2" fontId="45" fillId="0" borderId="23" xfId="0" applyNumberFormat="1" applyFont="1" applyBorder="1" applyAlignment="1">
      <alignment horizontal="left"/>
    </xf>
    <xf numFmtId="2" fontId="14" fillId="0" borderId="21" xfId="0" applyNumberFormat="1" applyFont="1" applyFill="1" applyBorder="1" applyAlignment="1">
      <alignment horizontal="left"/>
    </xf>
    <xf numFmtId="2" fontId="14" fillId="0" borderId="19" xfId="1" applyNumberFormat="1" applyFont="1" applyBorder="1" applyAlignment="1">
      <alignment horizontal="left"/>
    </xf>
    <xf numFmtId="2" fontId="14" fillId="0" borderId="23" xfId="1" applyNumberFormat="1" applyFont="1" applyBorder="1" applyAlignment="1">
      <alignment horizontal="left"/>
    </xf>
    <xf numFmtId="2" fontId="14" fillId="0" borderId="22" xfId="1" applyNumberFormat="1" applyFont="1" applyBorder="1" applyAlignment="1">
      <alignment horizontal="left"/>
    </xf>
    <xf numFmtId="2" fontId="14" fillId="0" borderId="19" xfId="0" applyNumberFormat="1" applyFont="1" applyBorder="1" applyAlignment="1">
      <alignment horizontal="left" vertical="center"/>
    </xf>
    <xf numFmtId="2" fontId="14" fillId="0" borderId="22" xfId="0" applyNumberFormat="1" applyFont="1" applyBorder="1" applyAlignment="1">
      <alignment horizontal="left" vertical="center"/>
    </xf>
    <xf numFmtId="2" fontId="25" fillId="0" borderId="65" xfId="0" applyNumberFormat="1" applyFont="1" applyBorder="1" applyAlignment="1">
      <alignment horizontal="left" vertical="center"/>
    </xf>
    <xf numFmtId="2" fontId="25" fillId="0" borderId="66" xfId="0" applyNumberFormat="1" applyFont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left"/>
    </xf>
    <xf numFmtId="1" fontId="41" fillId="0" borderId="13" xfId="0" applyNumberFormat="1" applyFont="1" applyBorder="1" applyAlignment="1">
      <alignment horizontal="left"/>
    </xf>
    <xf numFmtId="2" fontId="13" fillId="0" borderId="74" xfId="0" applyNumberFormat="1" applyFont="1" applyBorder="1" applyAlignment="1">
      <alignment horizontal="left"/>
    </xf>
    <xf numFmtId="1" fontId="40" fillId="0" borderId="28" xfId="0" applyNumberFormat="1" applyFont="1" applyBorder="1" applyAlignment="1">
      <alignment horizontal="left" vertical="center"/>
    </xf>
    <xf numFmtId="2" fontId="13" fillId="0" borderId="74" xfId="1" applyNumberFormat="1" applyFont="1" applyBorder="1" applyAlignment="1">
      <alignment horizontal="left"/>
    </xf>
    <xf numFmtId="1" fontId="41" fillId="0" borderId="13" xfId="0" applyNumberFormat="1" applyFont="1" applyFill="1" applyBorder="1" applyAlignment="1">
      <alignment horizontal="left"/>
    </xf>
    <xf numFmtId="1" fontId="41" fillId="0" borderId="28" xfId="0" applyNumberFormat="1" applyFont="1" applyFill="1" applyBorder="1" applyAlignment="1">
      <alignment horizontal="left" vertical="center" shrinkToFit="1"/>
    </xf>
    <xf numFmtId="2" fontId="13" fillId="0" borderId="74" xfId="0" applyNumberFormat="1" applyFont="1" applyFill="1" applyBorder="1" applyAlignment="1">
      <alignment horizontal="left"/>
    </xf>
    <xf numFmtId="1" fontId="40" fillId="0" borderId="38" xfId="0" applyNumberFormat="1" applyFont="1" applyFill="1" applyBorder="1" applyAlignment="1">
      <alignment horizontal="left" vertical="center"/>
    </xf>
    <xf numFmtId="2" fontId="13" fillId="0" borderId="32" xfId="1" applyNumberFormat="1" applyFont="1" applyBorder="1" applyAlignment="1">
      <alignment horizontal="left"/>
    </xf>
    <xf numFmtId="1" fontId="13" fillId="0" borderId="28" xfId="0" applyNumberFormat="1" applyFont="1" applyFill="1" applyBorder="1" applyAlignment="1">
      <alignment horizontal="left" vertical="center" shrinkToFit="1"/>
    </xf>
    <xf numFmtId="2" fontId="13" fillId="0" borderId="74" xfId="0" applyNumberFormat="1" applyFont="1" applyFill="1" applyBorder="1" applyAlignment="1">
      <alignment horizontal="left" vertical="center" wrapText="1"/>
    </xf>
    <xf numFmtId="1" fontId="13" fillId="0" borderId="13" xfId="0" applyNumberFormat="1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left"/>
    </xf>
    <xf numFmtId="1" fontId="41" fillId="0" borderId="48" xfId="0" applyNumberFormat="1" applyFont="1" applyFill="1" applyBorder="1" applyAlignment="1">
      <alignment horizontal="left" vertical="center" shrinkToFit="1"/>
    </xf>
    <xf numFmtId="2" fontId="13" fillId="0" borderId="32" xfId="0" applyNumberFormat="1" applyFont="1" applyFill="1" applyBorder="1" applyAlignment="1">
      <alignment horizontal="left"/>
    </xf>
    <xf numFmtId="1" fontId="41" fillId="0" borderId="13" xfId="0" applyNumberFormat="1" applyFont="1" applyBorder="1" applyAlignment="1">
      <alignment horizontal="left" vertical="center"/>
    </xf>
    <xf numFmtId="1" fontId="40" fillId="0" borderId="13" xfId="0" applyNumberFormat="1" applyFont="1" applyBorder="1" applyAlignment="1">
      <alignment horizontal="left" vertical="center"/>
    </xf>
    <xf numFmtId="1" fontId="40" fillId="0" borderId="23" xfId="0" applyNumberFormat="1" applyFont="1" applyFill="1" applyBorder="1" applyAlignment="1">
      <alignment horizontal="left" vertical="center"/>
    </xf>
    <xf numFmtId="1" fontId="13" fillId="0" borderId="1" xfId="0" applyNumberFormat="1" applyFont="1" applyBorder="1" applyAlignment="1">
      <alignment horizontal="left" wrapText="1"/>
    </xf>
    <xf numFmtId="1" fontId="13" fillId="0" borderId="19" xfId="0" applyNumberFormat="1" applyFont="1" applyBorder="1" applyAlignment="1">
      <alignment horizontal="left" wrapText="1"/>
    </xf>
    <xf numFmtId="1" fontId="1" fillId="0" borderId="13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3" fillId="0" borderId="13" xfId="2" applyNumberFormat="1" applyFont="1" applyBorder="1" applyAlignment="1">
      <alignment horizontal="left"/>
    </xf>
    <xf numFmtId="2" fontId="13" fillId="0" borderId="74" xfId="2" applyNumberFormat="1" applyFont="1" applyBorder="1" applyAlignment="1">
      <alignment horizontal="left"/>
    </xf>
    <xf numFmtId="1" fontId="14" fillId="0" borderId="75" xfId="0" applyNumberFormat="1" applyFont="1" applyBorder="1" applyAlignment="1">
      <alignment horizontal="left" vertical="center"/>
    </xf>
    <xf numFmtId="2" fontId="13" fillId="0" borderId="59" xfId="0" applyNumberFormat="1" applyFont="1" applyBorder="1" applyAlignment="1">
      <alignment horizontal="left"/>
    </xf>
    <xf numFmtId="1" fontId="13" fillId="0" borderId="19" xfId="2" applyNumberFormat="1" applyFont="1" applyBorder="1" applyAlignment="1">
      <alignment horizontal="left"/>
    </xf>
    <xf numFmtId="2" fontId="13" fillId="0" borderId="32" xfId="2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2" fontId="13" fillId="0" borderId="70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 vertical="center"/>
    </xf>
    <xf numFmtId="1" fontId="40" fillId="0" borderId="67" xfId="0" applyNumberFormat="1" applyFont="1" applyFill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19" fillId="0" borderId="28" xfId="0" applyNumberFormat="1" applyFont="1" applyBorder="1" applyAlignment="1">
      <alignment horizontal="left" vertical="center"/>
    </xf>
    <xf numFmtId="1" fontId="18" fillId="0" borderId="74" xfId="0" applyNumberFormat="1" applyFont="1" applyBorder="1" applyAlignment="1">
      <alignment horizontal="left"/>
    </xf>
    <xf numFmtId="1" fontId="18" fillId="0" borderId="74" xfId="0" applyNumberFormat="1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left"/>
    </xf>
    <xf numFmtId="1" fontId="18" fillId="0" borderId="32" xfId="0" applyNumberFormat="1" applyFont="1" applyBorder="1" applyAlignment="1">
      <alignment horizontal="left"/>
    </xf>
    <xf numFmtId="1" fontId="38" fillId="0" borderId="41" xfId="0" applyNumberFormat="1" applyFont="1" applyBorder="1" applyAlignment="1">
      <alignment horizontal="left"/>
    </xf>
    <xf numFmtId="1" fontId="18" fillId="0" borderId="74" xfId="1" applyNumberFormat="1" applyFont="1" applyBorder="1" applyAlignment="1">
      <alignment horizontal="left"/>
    </xf>
    <xf numFmtId="1" fontId="17" fillId="0" borderId="6" xfId="0" applyNumberFormat="1" applyFont="1" applyBorder="1" applyAlignment="1">
      <alignment horizontal="left"/>
    </xf>
    <xf numFmtId="1" fontId="18" fillId="0" borderId="74" xfId="0" applyNumberFormat="1" applyFont="1" applyFill="1" applyBorder="1" applyAlignment="1">
      <alignment horizontal="left"/>
    </xf>
    <xf numFmtId="1" fontId="18" fillId="0" borderId="32" xfId="1" applyNumberFormat="1" applyFont="1" applyBorder="1" applyAlignment="1">
      <alignment horizontal="left"/>
    </xf>
    <xf numFmtId="1" fontId="46" fillId="0" borderId="28" xfId="0" applyNumberFormat="1" applyFont="1" applyBorder="1" applyAlignment="1">
      <alignment horizontal="left"/>
    </xf>
    <xf numFmtId="1" fontId="18" fillId="0" borderId="19" xfId="0" applyNumberFormat="1" applyFont="1" applyFill="1" applyBorder="1" applyAlignment="1">
      <alignment horizontal="left"/>
    </xf>
    <xf numFmtId="1" fontId="18" fillId="0" borderId="32" xfId="0" applyNumberFormat="1" applyFont="1" applyFill="1" applyBorder="1" applyAlignment="1">
      <alignment horizontal="left"/>
    </xf>
    <xf numFmtId="1" fontId="46" fillId="0" borderId="7" xfId="0" applyNumberFormat="1" applyFont="1" applyBorder="1" applyAlignment="1">
      <alignment horizontal="left"/>
    </xf>
    <xf numFmtId="1" fontId="46" fillId="0" borderId="1" xfId="0" applyNumberFormat="1" applyFont="1" applyBorder="1" applyAlignment="1">
      <alignment horizontal="left"/>
    </xf>
    <xf numFmtId="1" fontId="46" fillId="0" borderId="19" xfId="0" applyNumberFormat="1" applyFont="1" applyBorder="1" applyAlignment="1">
      <alignment horizontal="left"/>
    </xf>
    <xf numFmtId="1" fontId="18" fillId="0" borderId="19" xfId="0" applyNumberFormat="1" applyFont="1" applyBorder="1" applyAlignment="1">
      <alignment horizontal="left" wrapText="1"/>
    </xf>
    <xf numFmtId="1" fontId="18" fillId="0" borderId="32" xfId="0" applyNumberFormat="1" applyFont="1" applyBorder="1" applyAlignment="1">
      <alignment horizontal="left" wrapText="1"/>
    </xf>
    <xf numFmtId="1" fontId="5" fillId="0" borderId="19" xfId="0" applyNumberFormat="1" applyFont="1" applyBorder="1" applyAlignment="1">
      <alignment horizontal="left"/>
    </xf>
    <xf numFmtId="1" fontId="18" fillId="0" borderId="19" xfId="2" applyNumberFormat="1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2" fontId="14" fillId="0" borderId="31" xfId="0" applyNumberFormat="1" applyFont="1" applyBorder="1" applyAlignment="1">
      <alignment horizontal="left"/>
    </xf>
    <xf numFmtId="2" fontId="25" fillId="0" borderId="35" xfId="0" applyNumberFormat="1" applyFont="1" applyBorder="1" applyAlignment="1">
      <alignment horizontal="left" vertical="center"/>
    </xf>
    <xf numFmtId="2" fontId="25" fillId="0" borderId="76" xfId="0" applyNumberFormat="1" applyFont="1" applyBorder="1" applyAlignment="1">
      <alignment horizontal="left" vertical="center"/>
    </xf>
    <xf numFmtId="2" fontId="45" fillId="0" borderId="11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2" fontId="14" fillId="0" borderId="10" xfId="0" applyNumberFormat="1" applyFont="1" applyBorder="1" applyAlignment="1">
      <alignment horizontal="left" vertical="center"/>
    </xf>
    <xf numFmtId="2" fontId="14" fillId="0" borderId="69" xfId="0" applyNumberFormat="1" applyFont="1" applyBorder="1" applyAlignment="1">
      <alignment horizontal="left" vertical="center"/>
    </xf>
    <xf numFmtId="2" fontId="14" fillId="0" borderId="17" xfId="0" applyNumberFormat="1" applyFont="1" applyBorder="1" applyAlignment="1">
      <alignment horizontal="left" vertical="center"/>
    </xf>
    <xf numFmtId="2" fontId="14" fillId="0" borderId="56" xfId="0" applyNumberFormat="1" applyFont="1" applyBorder="1" applyAlignment="1">
      <alignment horizontal="left" vertical="center"/>
    </xf>
    <xf numFmtId="2" fontId="14" fillId="0" borderId="57" xfId="0" applyNumberFormat="1" applyFont="1" applyBorder="1" applyAlignment="1">
      <alignment horizontal="left" vertical="center"/>
    </xf>
    <xf numFmtId="1" fontId="13" fillId="0" borderId="9" xfId="1" applyNumberFormat="1" applyFont="1" applyBorder="1" applyAlignment="1">
      <alignment horizontal="left"/>
    </xf>
    <xf numFmtId="1" fontId="14" fillId="0" borderId="69" xfId="0" applyNumberFormat="1" applyFont="1" applyBorder="1" applyAlignment="1">
      <alignment horizontal="left"/>
    </xf>
    <xf numFmtId="1" fontId="41" fillId="0" borderId="29" xfId="0" applyNumberFormat="1" applyFont="1" applyBorder="1" applyAlignment="1">
      <alignment horizontal="left" vertical="center"/>
    </xf>
    <xf numFmtId="1" fontId="40" fillId="0" borderId="29" xfId="0" applyNumberFormat="1" applyFont="1" applyBorder="1" applyAlignment="1">
      <alignment horizontal="left" vertical="center"/>
    </xf>
    <xf numFmtId="1" fontId="41" fillId="0" borderId="4" xfId="0" applyNumberFormat="1" applyFont="1" applyBorder="1" applyAlignment="1">
      <alignment horizontal="left" vertical="center"/>
    </xf>
    <xf numFmtId="1" fontId="40" fillId="0" borderId="4" xfId="0" applyNumberFormat="1" applyFont="1" applyBorder="1" applyAlignment="1">
      <alignment horizontal="left" vertical="center"/>
    </xf>
    <xf numFmtId="1" fontId="40" fillId="0" borderId="20" xfId="0" applyNumberFormat="1" applyFont="1" applyFill="1" applyBorder="1" applyAlignment="1">
      <alignment horizontal="left" vertical="center"/>
    </xf>
    <xf numFmtId="1" fontId="41" fillId="0" borderId="15" xfId="0" applyNumberFormat="1" applyFont="1" applyBorder="1" applyAlignment="1">
      <alignment horizontal="left" vertical="center"/>
    </xf>
    <xf numFmtId="2" fontId="13" fillId="0" borderId="52" xfId="0" applyNumberFormat="1" applyFont="1" applyBorder="1" applyAlignment="1">
      <alignment horizontal="left"/>
    </xf>
    <xf numFmtId="1" fontId="40" fillId="0" borderId="30" xfId="0" applyNumberFormat="1" applyFont="1" applyFill="1" applyBorder="1" applyAlignment="1">
      <alignment horizontal="left" vertical="center"/>
    </xf>
    <xf numFmtId="1" fontId="40" fillId="0" borderId="9" xfId="0" applyNumberFormat="1" applyFont="1" applyBorder="1" applyAlignment="1">
      <alignment horizontal="left" vertical="center"/>
    </xf>
    <xf numFmtId="2" fontId="25" fillId="0" borderId="27" xfId="0" applyNumberFormat="1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2" fontId="45" fillId="0" borderId="67" xfId="0" applyNumberFormat="1" applyFont="1" applyBorder="1" applyAlignment="1">
      <alignment horizontal="left"/>
    </xf>
    <xf numFmtId="2" fontId="25" fillId="0" borderId="77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164" fontId="20" fillId="0" borderId="62" xfId="0" applyNumberFormat="1" applyFont="1" applyBorder="1" applyAlignment="1">
      <alignment horizontal="left"/>
    </xf>
    <xf numFmtId="2" fontId="14" fillId="0" borderId="13" xfId="0" applyNumberFormat="1" applyFont="1" applyFill="1" applyBorder="1" applyAlignment="1">
      <alignment horizontal="left"/>
    </xf>
    <xf numFmtId="2" fontId="14" fillId="0" borderId="23" xfId="0" applyNumberFormat="1" applyFont="1" applyFill="1" applyBorder="1" applyAlignment="1">
      <alignment horizontal="left"/>
    </xf>
    <xf numFmtId="0" fontId="14" fillId="0" borderId="47" xfId="0" applyFont="1" applyBorder="1" applyAlignment="1">
      <alignment horizontal="left"/>
    </xf>
    <xf numFmtId="2" fontId="14" fillId="0" borderId="3" xfId="1" applyNumberFormat="1" applyFont="1" applyBorder="1" applyAlignment="1">
      <alignment horizontal="left"/>
    </xf>
    <xf numFmtId="0" fontId="14" fillId="0" borderId="13" xfId="0" applyFont="1" applyBorder="1" applyAlignment="1">
      <alignment horizontal="left" vertical="center"/>
    </xf>
    <xf numFmtId="2" fontId="14" fillId="0" borderId="4" xfId="1" applyNumberFormat="1" applyFont="1" applyBorder="1" applyAlignment="1">
      <alignment horizontal="left"/>
    </xf>
    <xf numFmtId="2" fontId="25" fillId="0" borderId="4" xfId="1" applyNumberFormat="1" applyFont="1" applyBorder="1" applyAlignment="1">
      <alignment horizontal="left"/>
    </xf>
    <xf numFmtId="2" fontId="14" fillId="0" borderId="20" xfId="1" applyNumberFormat="1" applyFont="1" applyBorder="1" applyAlignment="1">
      <alignment horizontal="left"/>
    </xf>
    <xf numFmtId="2" fontId="25" fillId="0" borderId="54" xfId="1" applyNumberFormat="1" applyFont="1" applyBorder="1" applyAlignment="1">
      <alignment horizontal="left"/>
    </xf>
    <xf numFmtId="2" fontId="25" fillId="0" borderId="29" xfId="1" applyNumberFormat="1" applyFont="1" applyBorder="1" applyAlignment="1">
      <alignment horizontal="left"/>
    </xf>
    <xf numFmtId="2" fontId="25" fillId="0" borderId="61" xfId="1" applyNumberFormat="1" applyFont="1" applyBorder="1" applyAlignment="1">
      <alignment horizontal="left"/>
    </xf>
    <xf numFmtId="1" fontId="13" fillId="0" borderId="72" xfId="1" applyNumberFormat="1" applyFont="1" applyBorder="1" applyAlignment="1">
      <alignment horizontal="left"/>
    </xf>
    <xf numFmtId="1" fontId="14" fillId="0" borderId="23" xfId="1" applyNumberFormat="1" applyFont="1" applyBorder="1" applyAlignment="1">
      <alignment horizontal="left"/>
    </xf>
    <xf numFmtId="1" fontId="20" fillId="0" borderId="28" xfId="0" applyNumberFormat="1" applyFont="1" applyBorder="1" applyAlignment="1">
      <alignment horizontal="left"/>
    </xf>
    <xf numFmtId="1" fontId="20" fillId="0" borderId="23" xfId="0" applyNumberFormat="1" applyFont="1" applyBorder="1" applyAlignment="1">
      <alignment horizontal="left"/>
    </xf>
    <xf numFmtId="0" fontId="15" fillId="0" borderId="72" xfId="0" applyFont="1" applyBorder="1" applyAlignment="1">
      <alignment horizontal="left"/>
    </xf>
    <xf numFmtId="1" fontId="14" fillId="0" borderId="1" xfId="0" applyNumberFormat="1" applyFont="1" applyFill="1" applyBorder="1" applyAlignment="1">
      <alignment horizontal="left"/>
    </xf>
    <xf numFmtId="1" fontId="14" fillId="0" borderId="19" xfId="0" applyNumberFormat="1" applyFont="1" applyFill="1" applyBorder="1" applyAlignment="1">
      <alignment horizontal="left"/>
    </xf>
    <xf numFmtId="1" fontId="13" fillId="0" borderId="69" xfId="0" applyNumberFormat="1" applyFont="1" applyFill="1" applyBorder="1" applyAlignment="1">
      <alignment horizontal="left"/>
    </xf>
    <xf numFmtId="1" fontId="14" fillId="0" borderId="18" xfId="0" applyNumberFormat="1" applyFont="1" applyBorder="1" applyAlignment="1">
      <alignment horizontal="left" vertical="center"/>
    </xf>
    <xf numFmtId="1" fontId="14" fillId="0" borderId="78" xfId="0" applyNumberFormat="1" applyFont="1" applyBorder="1" applyAlignment="1">
      <alignment horizontal="left" vertical="center"/>
    </xf>
    <xf numFmtId="1" fontId="25" fillId="0" borderId="55" xfId="0" applyNumberFormat="1" applyFont="1" applyBorder="1" applyAlignment="1">
      <alignment horizontal="left" vertical="center"/>
    </xf>
    <xf numFmtId="1" fontId="14" fillId="0" borderId="0" xfId="0" applyNumberFormat="1" applyFont="1" applyBorder="1" applyAlignment="1">
      <alignment horizontal="left" vertical="center"/>
    </xf>
    <xf numFmtId="1" fontId="14" fillId="0" borderId="1" xfId="1" applyNumberFormat="1" applyFont="1" applyBorder="1" applyAlignment="1">
      <alignment horizontal="left"/>
    </xf>
    <xf numFmtId="1" fontId="13" fillId="0" borderId="69" xfId="1" applyNumberFormat="1" applyFont="1" applyBorder="1" applyAlignment="1">
      <alignment horizontal="left"/>
    </xf>
    <xf numFmtId="2" fontId="13" fillId="0" borderId="50" xfId="0" applyNumberFormat="1" applyFont="1" applyBorder="1" applyAlignment="1">
      <alignment horizontal="left"/>
    </xf>
    <xf numFmtId="1" fontId="25" fillId="0" borderId="35" xfId="0" applyNumberFormat="1" applyFont="1" applyBorder="1" applyAlignment="1">
      <alignment horizontal="left" vertical="center"/>
    </xf>
    <xf numFmtId="1" fontId="25" fillId="0" borderId="36" xfId="0" applyNumberFormat="1" applyFont="1" applyBorder="1" applyAlignment="1">
      <alignment horizontal="left" vertical="center"/>
    </xf>
    <xf numFmtId="1" fontId="14" fillId="0" borderId="32" xfId="0" applyNumberFormat="1" applyFont="1" applyFill="1" applyBorder="1" applyAlignment="1">
      <alignment horizontal="left" vertical="center"/>
    </xf>
    <xf numFmtId="1" fontId="14" fillId="0" borderId="34" xfId="0" applyNumberFormat="1" applyFont="1" applyBorder="1" applyAlignment="1">
      <alignment horizontal="left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31" xfId="0" applyNumberFormat="1" applyFont="1" applyBorder="1" applyAlignment="1">
      <alignment horizontal="left" vertical="center"/>
    </xf>
    <xf numFmtId="2" fontId="13" fillId="0" borderId="7" xfId="0" applyNumberFormat="1" applyFont="1" applyBorder="1" applyAlignment="1">
      <alignment horizontal="left" vertical="center"/>
    </xf>
    <xf numFmtId="2" fontId="13" fillId="0" borderId="9" xfId="0" applyNumberFormat="1" applyFont="1" applyBorder="1" applyAlignment="1">
      <alignment horizontal="left" vertical="center"/>
    </xf>
    <xf numFmtId="2" fontId="13" fillId="0" borderId="19" xfId="0" applyNumberFormat="1" applyFont="1" applyBorder="1" applyAlignment="1">
      <alignment horizontal="left" vertical="center"/>
    </xf>
    <xf numFmtId="2" fontId="14" fillId="0" borderId="39" xfId="0" applyNumberFormat="1" applyFont="1" applyBorder="1" applyAlignment="1">
      <alignment horizontal="left" vertical="center"/>
    </xf>
    <xf numFmtId="2" fontId="14" fillId="0" borderId="42" xfId="0" applyNumberFormat="1" applyFont="1" applyBorder="1" applyAlignment="1">
      <alignment horizontal="left" vertical="center"/>
    </xf>
    <xf numFmtId="2" fontId="18" fillId="0" borderId="44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2" fontId="14" fillId="0" borderId="43" xfId="0" applyNumberFormat="1" applyFont="1" applyBorder="1" applyAlignment="1">
      <alignment horizontal="left"/>
    </xf>
    <xf numFmtId="2" fontId="14" fillId="0" borderId="44" xfId="0" applyNumberFormat="1" applyFont="1" applyBorder="1" applyAlignment="1">
      <alignment horizontal="left"/>
    </xf>
    <xf numFmtId="2" fontId="13" fillId="0" borderId="28" xfId="2" applyNumberFormat="1" applyFont="1" applyBorder="1" applyAlignment="1">
      <alignment horizontal="left"/>
    </xf>
    <xf numFmtId="2" fontId="18" fillId="0" borderId="28" xfId="1" applyNumberFormat="1" applyFont="1" applyBorder="1" applyAlignment="1">
      <alignment horizontal="left"/>
    </xf>
    <xf numFmtId="2" fontId="29" fillId="0" borderId="70" xfId="1" applyNumberFormat="1" applyFont="1" applyBorder="1" applyAlignment="1">
      <alignment horizontal="left"/>
    </xf>
    <xf numFmtId="2" fontId="29" fillId="0" borderId="61" xfId="0" applyNumberFormat="1" applyFont="1" applyBorder="1" applyAlignment="1">
      <alignment horizontal="left"/>
    </xf>
    <xf numFmtId="2" fontId="19" fillId="0" borderId="75" xfId="0" applyNumberFormat="1" applyFont="1" applyBorder="1" applyAlignment="1">
      <alignment horizontal="left"/>
    </xf>
    <xf numFmtId="2" fontId="29" fillId="0" borderId="51" xfId="0" applyNumberFormat="1" applyFont="1" applyBorder="1" applyAlignment="1">
      <alignment horizontal="left"/>
    </xf>
    <xf numFmtId="2" fontId="19" fillId="0" borderId="51" xfId="0" applyNumberFormat="1" applyFont="1" applyBorder="1" applyAlignment="1">
      <alignment horizontal="left"/>
    </xf>
    <xf numFmtId="2" fontId="29" fillId="0" borderId="55" xfId="0" applyNumberFormat="1" applyFont="1" applyBorder="1" applyAlignment="1">
      <alignment horizontal="left"/>
    </xf>
    <xf numFmtId="164" fontId="22" fillId="0" borderId="28" xfId="0" applyNumberFormat="1" applyFont="1" applyBorder="1" applyAlignment="1">
      <alignment horizontal="left"/>
    </xf>
    <xf numFmtId="1" fontId="13" fillId="0" borderId="28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1" fontId="14" fillId="0" borderId="48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1" fontId="13" fillId="0" borderId="23" xfId="0" applyNumberFormat="1" applyFont="1" applyBorder="1" applyAlignment="1">
      <alignment horizontal="left"/>
    </xf>
    <xf numFmtId="0" fontId="25" fillId="0" borderId="61" xfId="0" applyFont="1" applyBorder="1" applyAlignment="1">
      <alignment horizontal="left"/>
    </xf>
    <xf numFmtId="1" fontId="13" fillId="0" borderId="9" xfId="0" applyNumberFormat="1" applyFont="1" applyBorder="1" applyAlignment="1">
      <alignment horizontal="left" vertical="center"/>
    </xf>
    <xf numFmtId="1" fontId="13" fillId="0" borderId="3" xfId="0" applyNumberFormat="1" applyFont="1" applyBorder="1" applyAlignment="1">
      <alignment horizontal="left" vertical="center"/>
    </xf>
    <xf numFmtId="1" fontId="13" fillId="0" borderId="22" xfId="0" applyNumberFormat="1" applyFont="1" applyBorder="1" applyAlignment="1">
      <alignment horizontal="left" vertical="center"/>
    </xf>
    <xf numFmtId="1" fontId="1" fillId="0" borderId="49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left"/>
    </xf>
    <xf numFmtId="1" fontId="13" fillId="0" borderId="28" xfId="2" applyNumberFormat="1" applyFont="1" applyBorder="1" applyAlignment="1">
      <alignment horizontal="left"/>
    </xf>
    <xf numFmtId="1" fontId="1" fillId="0" borderId="72" xfId="0" applyNumberFormat="1" applyFont="1" applyBorder="1" applyAlignment="1">
      <alignment horizontal="left"/>
    </xf>
    <xf numFmtId="1" fontId="13" fillId="0" borderId="8" xfId="2" applyNumberFormat="1" applyFont="1" applyBorder="1" applyAlignment="1">
      <alignment horizontal="left"/>
    </xf>
    <xf numFmtId="1" fontId="13" fillId="0" borderId="4" xfId="2" applyNumberFormat="1" applyFont="1" applyBorder="1" applyAlignment="1">
      <alignment horizontal="left"/>
    </xf>
    <xf numFmtId="1" fontId="4" fillId="0" borderId="17" xfId="0" applyNumberFormat="1" applyFont="1" applyBorder="1" applyAlignment="1">
      <alignment horizontal="left"/>
    </xf>
    <xf numFmtId="1" fontId="18" fillId="0" borderId="13" xfId="0" applyNumberFormat="1" applyFont="1" applyBorder="1" applyAlignment="1">
      <alignment horizontal="left"/>
    </xf>
    <xf numFmtId="2" fontId="4" fillId="0" borderId="69" xfId="0" applyNumberFormat="1" applyFont="1" applyBorder="1" applyAlignment="1">
      <alignment horizontal="left"/>
    </xf>
    <xf numFmtId="0" fontId="4" fillId="0" borderId="72" xfId="0" applyFont="1" applyBorder="1" applyAlignment="1">
      <alignment horizontal="left"/>
    </xf>
    <xf numFmtId="1" fontId="13" fillId="0" borderId="9" xfId="0" applyNumberFormat="1" applyFont="1" applyFill="1" applyBorder="1" applyAlignment="1">
      <alignment horizontal="left"/>
    </xf>
    <xf numFmtId="1" fontId="4" fillId="0" borderId="69" xfId="0" applyNumberFormat="1" applyFont="1" applyFill="1" applyBorder="1" applyAlignment="1">
      <alignment horizontal="left"/>
    </xf>
    <xf numFmtId="1" fontId="25" fillId="0" borderId="79" xfId="0" applyNumberFormat="1" applyFont="1" applyBorder="1" applyAlignment="1">
      <alignment horizontal="left" vertical="center"/>
    </xf>
    <xf numFmtId="1" fontId="25" fillId="0" borderId="77" xfId="0" applyNumberFormat="1" applyFont="1" applyBorder="1" applyAlignment="1">
      <alignment horizontal="left" vertical="center"/>
    </xf>
    <xf numFmtId="3" fontId="15" fillId="0" borderId="34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left"/>
    </xf>
    <xf numFmtId="3" fontId="15" fillId="0" borderId="31" xfId="0" applyNumberFormat="1" applyFont="1" applyBorder="1" applyAlignment="1">
      <alignment horizontal="left"/>
    </xf>
    <xf numFmtId="1" fontId="13" fillId="0" borderId="28" xfId="1" applyNumberFormat="1" applyFont="1" applyBorder="1" applyAlignment="1">
      <alignment horizontal="left"/>
    </xf>
    <xf numFmtId="1" fontId="4" fillId="0" borderId="72" xfId="1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3" fontId="15" fillId="0" borderId="62" xfId="0" applyNumberFormat="1" applyFont="1" applyBorder="1" applyAlignment="1">
      <alignment horizontal="left"/>
    </xf>
    <xf numFmtId="0" fontId="21" fillId="0" borderId="74" xfId="0" applyFont="1" applyBorder="1" applyAlignment="1">
      <alignment horizontal="left" vertical="center"/>
    </xf>
    <xf numFmtId="1" fontId="36" fillId="0" borderId="67" xfId="0" applyNumberFormat="1" applyFont="1" applyBorder="1" applyAlignment="1">
      <alignment horizontal="left"/>
    </xf>
    <xf numFmtId="1" fontId="23" fillId="0" borderId="1" xfId="2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1" fontId="36" fillId="0" borderId="73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3" fontId="23" fillId="0" borderId="1" xfId="0" applyNumberFormat="1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36" fillId="0" borderId="12" xfId="0" applyNumberFormat="1" applyFont="1" applyBorder="1" applyAlignment="1">
      <alignment horizontal="left"/>
    </xf>
    <xf numFmtId="2" fontId="23" fillId="0" borderId="1" xfId="0" applyNumberFormat="1" applyFont="1" applyFill="1" applyBorder="1" applyAlignment="1">
      <alignment horizontal="left"/>
    </xf>
    <xf numFmtId="1" fontId="36" fillId="0" borderId="12" xfId="0" applyNumberFormat="1" applyFont="1" applyFill="1" applyBorder="1" applyAlignment="1">
      <alignment horizontal="left"/>
    </xf>
    <xf numFmtId="1" fontId="36" fillId="0" borderId="63" xfId="0" applyNumberFormat="1" applyFont="1" applyFill="1" applyBorder="1" applyAlignment="1">
      <alignment horizontal="left"/>
    </xf>
    <xf numFmtId="1" fontId="23" fillId="0" borderId="13" xfId="1" applyNumberFormat="1" applyFont="1" applyBorder="1" applyAlignment="1">
      <alignment horizontal="left"/>
    </xf>
    <xf numFmtId="1" fontId="23" fillId="0" borderId="15" xfId="0" applyNumberFormat="1" applyFont="1" applyBorder="1" applyAlignment="1">
      <alignment horizontal="left" vertical="center"/>
    </xf>
    <xf numFmtId="2" fontId="23" fillId="0" borderId="18" xfId="0" applyNumberFormat="1" applyFont="1" applyBorder="1" applyAlignment="1">
      <alignment horizontal="left"/>
    </xf>
    <xf numFmtId="2" fontId="36" fillId="0" borderId="73" xfId="0" applyNumberFormat="1" applyFont="1" applyBorder="1" applyAlignment="1">
      <alignment horizontal="left"/>
    </xf>
    <xf numFmtId="2" fontId="23" fillId="0" borderId="1" xfId="1" applyNumberFormat="1" applyFont="1" applyBorder="1" applyAlignment="1">
      <alignment horizontal="left"/>
    </xf>
    <xf numFmtId="1" fontId="21" fillId="0" borderId="3" xfId="2" applyNumberFormat="1" applyFont="1" applyBorder="1" applyAlignment="1">
      <alignment horizontal="left"/>
    </xf>
    <xf numFmtId="1" fontId="23" fillId="0" borderId="19" xfId="2" applyNumberFormat="1" applyFont="1" applyBorder="1" applyAlignment="1">
      <alignment horizontal="left"/>
    </xf>
    <xf numFmtId="1" fontId="24" fillId="0" borderId="3" xfId="0" applyNumberFormat="1" applyFont="1" applyBorder="1" applyAlignment="1">
      <alignment horizontal="left"/>
    </xf>
    <xf numFmtId="1" fontId="36" fillId="0" borderId="66" xfId="0" applyNumberFormat="1" applyFont="1" applyBorder="1" applyAlignment="1">
      <alignment horizontal="left"/>
    </xf>
    <xf numFmtId="1" fontId="21" fillId="0" borderId="4" xfId="1" applyNumberFormat="1" applyFont="1" applyBorder="1" applyAlignment="1">
      <alignment horizontal="left"/>
    </xf>
    <xf numFmtId="1" fontId="23" fillId="0" borderId="20" xfId="1" applyNumberFormat="1" applyFont="1" applyBorder="1" applyAlignment="1">
      <alignment horizontal="left"/>
    </xf>
    <xf numFmtId="1" fontId="21" fillId="0" borderId="29" xfId="0" applyNumberFormat="1" applyFont="1" applyBorder="1" applyAlignment="1">
      <alignment horizontal="left"/>
    </xf>
    <xf numFmtId="1" fontId="22" fillId="0" borderId="4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22" fillId="0" borderId="20" xfId="0" applyNumberFormat="1" applyFont="1" applyBorder="1" applyAlignment="1">
      <alignment horizontal="left"/>
    </xf>
    <xf numFmtId="1" fontId="21" fillId="0" borderId="29" xfId="1" applyNumberFormat="1" applyFont="1" applyBorder="1" applyAlignment="1">
      <alignment horizontal="left"/>
    </xf>
    <xf numFmtId="1" fontId="36" fillId="0" borderId="55" xfId="1" applyNumberFormat="1" applyFont="1" applyBorder="1" applyAlignment="1">
      <alignment horizontal="left"/>
    </xf>
    <xf numFmtId="1" fontId="21" fillId="0" borderId="13" xfId="1" applyNumberFormat="1" applyFont="1" applyBorder="1" applyAlignment="1">
      <alignment horizontal="left"/>
    </xf>
    <xf numFmtId="1" fontId="24" fillId="0" borderId="15" xfId="0" applyNumberFormat="1" applyFont="1" applyBorder="1" applyAlignment="1">
      <alignment horizontal="left"/>
    </xf>
    <xf numFmtId="1" fontId="21" fillId="0" borderId="16" xfId="0" applyNumberFormat="1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left"/>
    </xf>
    <xf numFmtId="1" fontId="21" fillId="0" borderId="18" xfId="1" applyNumberFormat="1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1" fontId="23" fillId="0" borderId="69" xfId="0" applyNumberFormat="1" applyFont="1" applyBorder="1" applyAlignment="1">
      <alignment horizontal="left"/>
    </xf>
    <xf numFmtId="1" fontId="23" fillId="0" borderId="56" xfId="0" applyNumberFormat="1" applyFont="1" applyBorder="1" applyAlignment="1">
      <alignment horizontal="left"/>
    </xf>
    <xf numFmtId="1" fontId="23" fillId="0" borderId="72" xfId="0" applyNumberFormat="1" applyFont="1" applyBorder="1" applyAlignment="1">
      <alignment horizontal="left"/>
    </xf>
    <xf numFmtId="1" fontId="23" fillId="0" borderId="65" xfId="0" applyNumberFormat="1" applyFont="1" applyBorder="1" applyAlignment="1">
      <alignment horizontal="left"/>
    </xf>
    <xf numFmtId="1" fontId="37" fillId="0" borderId="65" xfId="0" applyNumberFormat="1" applyFont="1" applyBorder="1" applyAlignment="1">
      <alignment horizontal="left"/>
    </xf>
    <xf numFmtId="2" fontId="36" fillId="0" borderId="56" xfId="0" applyNumberFormat="1" applyFont="1" applyBorder="1" applyAlignment="1">
      <alignment horizontal="left" vertical="center"/>
    </xf>
    <xf numFmtId="2" fontId="36" fillId="0" borderId="53" xfId="0" applyNumberFormat="1" applyFont="1" applyBorder="1" applyAlignment="1">
      <alignment horizontal="left" vertical="center"/>
    </xf>
    <xf numFmtId="2" fontId="36" fillId="0" borderId="61" xfId="0" applyNumberFormat="1" applyFont="1" applyBorder="1" applyAlignment="1">
      <alignment horizontal="left" vertical="center"/>
    </xf>
    <xf numFmtId="2" fontId="36" fillId="0" borderId="54" xfId="0" applyNumberFormat="1" applyFont="1" applyBorder="1" applyAlignment="1">
      <alignment horizontal="left" vertical="center"/>
    </xf>
    <xf numFmtId="0" fontId="23" fillId="0" borderId="70" xfId="0" applyFont="1" applyBorder="1" applyAlignment="1">
      <alignment horizontal="left"/>
    </xf>
    <xf numFmtId="1" fontId="23" fillId="0" borderId="80" xfId="0" applyNumberFormat="1" applyFont="1" applyBorder="1" applyAlignment="1">
      <alignment horizontal="left"/>
    </xf>
    <xf numFmtId="0" fontId="23" fillId="0" borderId="69" xfId="0" applyFont="1" applyBorder="1" applyAlignment="1">
      <alignment horizontal="left"/>
    </xf>
    <xf numFmtId="1" fontId="21" fillId="0" borderId="54" xfId="0" applyNumberFormat="1" applyFont="1" applyBorder="1" applyAlignment="1">
      <alignment horizontal="left"/>
    </xf>
    <xf numFmtId="1" fontId="23" fillId="0" borderId="61" xfId="0" applyNumberFormat="1" applyFont="1" applyBorder="1" applyAlignment="1">
      <alignment horizontal="left"/>
    </xf>
    <xf numFmtId="1" fontId="23" fillId="0" borderId="57" xfId="0" applyNumberFormat="1" applyFont="1" applyBorder="1" applyAlignment="1">
      <alignment horizontal="left"/>
    </xf>
    <xf numFmtId="1" fontId="21" fillId="0" borderId="57" xfId="0" applyNumberFormat="1" applyFont="1" applyBorder="1" applyAlignment="1">
      <alignment horizontal="left"/>
    </xf>
    <xf numFmtId="1" fontId="40" fillId="0" borderId="24" xfId="0" applyNumberFormat="1" applyFont="1" applyFill="1" applyBorder="1" applyAlignment="1">
      <alignment horizontal="left" vertical="center"/>
    </xf>
    <xf numFmtId="2" fontId="14" fillId="0" borderId="62" xfId="0" applyNumberFormat="1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48" fillId="0" borderId="0" xfId="0" applyFont="1"/>
    <xf numFmtId="0" fontId="24" fillId="0" borderId="48" xfId="0" applyFont="1" applyBorder="1" applyAlignment="1">
      <alignment horizontal="left"/>
    </xf>
    <xf numFmtId="0" fontId="17" fillId="0" borderId="8" xfId="0" applyFont="1" applyBorder="1"/>
    <xf numFmtId="0" fontId="17" fillId="0" borderId="28" xfId="0" applyFont="1" applyBorder="1"/>
    <xf numFmtId="0" fontId="17" fillId="0" borderId="7" xfId="0" applyFont="1" applyBorder="1"/>
    <xf numFmtId="0" fontId="17" fillId="0" borderId="9" xfId="0" applyFont="1" applyBorder="1"/>
    <xf numFmtId="0" fontId="17" fillId="0" borderId="13" xfId="0" applyFont="1" applyBorder="1"/>
    <xf numFmtId="0" fontId="17" fillId="0" borderId="1" xfId="0" applyFont="1" applyBorder="1"/>
    <xf numFmtId="0" fontId="18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49" fillId="0" borderId="1" xfId="0" applyFont="1" applyBorder="1"/>
    <xf numFmtId="0" fontId="49" fillId="0" borderId="3" xfId="0" applyFont="1" applyBorder="1"/>
    <xf numFmtId="0" fontId="49" fillId="0" borderId="13" xfId="0" applyFont="1" applyBorder="1"/>
    <xf numFmtId="0" fontId="49" fillId="0" borderId="0" xfId="0" applyFont="1"/>
    <xf numFmtId="0" fontId="24" fillId="0" borderId="45" xfId="0" applyFont="1" applyBorder="1" applyAlignment="1">
      <alignment horizontal="left"/>
    </xf>
    <xf numFmtId="0" fontId="49" fillId="0" borderId="67" xfId="0" applyFont="1" applyBorder="1"/>
    <xf numFmtId="0" fontId="49" fillId="0" borderId="12" xfId="0" applyFont="1" applyBorder="1"/>
    <xf numFmtId="0" fontId="49" fillId="0" borderId="31" xfId="0" applyFont="1" applyBorder="1"/>
    <xf numFmtId="0" fontId="24" fillId="0" borderId="53" xfId="0" applyFont="1" applyBorder="1" applyAlignment="1">
      <alignment horizontal="left"/>
    </xf>
    <xf numFmtId="0" fontId="36" fillId="0" borderId="61" xfId="0" applyFont="1" applyFill="1" applyBorder="1" applyAlignment="1">
      <alignment horizontal="left" vertical="justify" wrapText="1"/>
    </xf>
    <xf numFmtId="0" fontId="36" fillId="0" borderId="53" xfId="0" applyFont="1" applyFill="1" applyBorder="1" applyAlignment="1">
      <alignment horizontal="left" vertical="justify" wrapText="1"/>
    </xf>
    <xf numFmtId="0" fontId="23" fillId="0" borderId="0" xfId="0" applyFont="1"/>
    <xf numFmtId="0" fontId="37" fillId="0" borderId="0" xfId="0" applyFont="1"/>
    <xf numFmtId="0" fontId="17" fillId="0" borderId="48" xfId="0" applyFont="1" applyBorder="1"/>
    <xf numFmtId="0" fontId="17" fillId="0" borderId="10" xfId="0" applyFont="1" applyBorder="1"/>
    <xf numFmtId="0" fontId="17" fillId="0" borderId="75" xfId="0" applyFont="1" applyBorder="1"/>
    <xf numFmtId="0" fontId="31" fillId="0" borderId="44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75" xfId="0" applyFont="1" applyBorder="1" applyAlignment="1">
      <alignment horizontal="left"/>
    </xf>
    <xf numFmtId="0" fontId="23" fillId="0" borderId="48" xfId="0" applyFont="1" applyBorder="1" applyAlignment="1">
      <alignment horizontal="left"/>
    </xf>
    <xf numFmtId="0" fontId="50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3" fontId="22" fillId="0" borderId="16" xfId="0" applyNumberFormat="1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78" xfId="0" applyFont="1" applyBorder="1" applyAlignment="1">
      <alignment horizontal="left"/>
    </xf>
    <xf numFmtId="3" fontId="22" fillId="0" borderId="2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0" fontId="23" fillId="0" borderId="0" xfId="0" applyFont="1" applyBorder="1"/>
    <xf numFmtId="3" fontId="37" fillId="0" borderId="57" xfId="0" applyNumberFormat="1" applyFont="1" applyBorder="1" applyAlignment="1">
      <alignment horizontal="left"/>
    </xf>
    <xf numFmtId="0" fontId="51" fillId="0" borderId="58" xfId="0" applyFont="1" applyBorder="1"/>
    <xf numFmtId="0" fontId="51" fillId="0" borderId="7" xfId="0" applyFont="1" applyBorder="1" applyAlignment="1">
      <alignment horizontal="left"/>
    </xf>
    <xf numFmtId="0" fontId="51" fillId="0" borderId="9" xfId="0" applyFont="1" applyBorder="1" applyAlignment="1">
      <alignment horizontal="left"/>
    </xf>
    <xf numFmtId="0" fontId="51" fillId="0" borderId="37" xfId="0" applyFont="1" applyBorder="1" applyAlignment="1">
      <alignment horizontal="left"/>
    </xf>
    <xf numFmtId="2" fontId="14" fillId="0" borderId="67" xfId="0" applyNumberFormat="1" applyFont="1" applyBorder="1" applyAlignment="1">
      <alignment horizontal="left"/>
    </xf>
    <xf numFmtId="2" fontId="14" fillId="0" borderId="1" xfId="0" applyNumberFormat="1" applyFont="1" applyFill="1" applyBorder="1" applyAlignment="1">
      <alignment horizontal="left" vertical="top" shrinkToFit="1"/>
    </xf>
    <xf numFmtId="2" fontId="14" fillId="0" borderId="13" xfId="0" applyNumberFormat="1" applyFont="1" applyFill="1" applyBorder="1" applyAlignment="1">
      <alignment horizontal="left" vertical="top" shrinkToFit="1"/>
    </xf>
    <xf numFmtId="2" fontId="14" fillId="0" borderId="12" xfId="0" applyNumberFormat="1" applyFont="1" applyFill="1" applyBorder="1" applyAlignment="1">
      <alignment horizontal="left" vertical="top" shrinkToFit="1"/>
    </xf>
    <xf numFmtId="2" fontId="14" fillId="0" borderId="67" xfId="0" applyNumberFormat="1" applyFont="1" applyFill="1" applyBorder="1" applyAlignment="1">
      <alignment horizontal="left" vertical="top" shrinkToFit="1"/>
    </xf>
    <xf numFmtId="0" fontId="36" fillId="0" borderId="70" xfId="0" applyFont="1" applyBorder="1" applyAlignment="1">
      <alignment horizontal="left"/>
    </xf>
    <xf numFmtId="2" fontId="36" fillId="0" borderId="35" xfId="0" applyNumberFormat="1" applyFont="1" applyBorder="1" applyAlignment="1">
      <alignment horizontal="left" vertical="center"/>
    </xf>
    <xf numFmtId="2" fontId="36" fillId="0" borderId="80" xfId="0" applyNumberFormat="1" applyFont="1" applyBorder="1" applyAlignment="1">
      <alignment horizontal="left" vertical="center"/>
    </xf>
    <xf numFmtId="2" fontId="23" fillId="0" borderId="12" xfId="2" applyNumberFormat="1" applyFont="1" applyBorder="1" applyAlignment="1">
      <alignment horizontal="left"/>
    </xf>
    <xf numFmtId="2" fontId="23" fillId="0" borderId="31" xfId="2" applyNumberFormat="1" applyFont="1" applyBorder="1" applyAlignment="1">
      <alignment horizontal="left"/>
    </xf>
    <xf numFmtId="1" fontId="36" fillId="0" borderId="61" xfId="0" applyNumberFormat="1" applyFont="1" applyBorder="1" applyAlignment="1">
      <alignment horizontal="center" vertical="justify" wrapText="1"/>
    </xf>
    <xf numFmtId="0" fontId="17" fillId="0" borderId="2" xfId="0" applyFont="1" applyBorder="1"/>
    <xf numFmtId="1" fontId="36" fillId="0" borderId="44" xfId="0" applyNumberFormat="1" applyFont="1" applyBorder="1" applyAlignment="1">
      <alignment horizontal="center" vertical="justify" wrapText="1"/>
    </xf>
    <xf numFmtId="1" fontId="36" fillId="0" borderId="52" xfId="0" applyNumberFormat="1" applyFont="1" applyBorder="1" applyAlignment="1">
      <alignment horizontal="center" vertical="justify" wrapText="1"/>
    </xf>
    <xf numFmtId="0" fontId="17" fillId="0" borderId="32" xfId="0" applyFont="1" applyBorder="1"/>
    <xf numFmtId="0" fontId="23" fillId="0" borderId="28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72" xfId="0" applyFont="1" applyBorder="1" applyAlignment="1">
      <alignment horizontal="left"/>
    </xf>
    <xf numFmtId="0" fontId="37" fillId="0" borderId="55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23" fillId="0" borderId="60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23" fillId="0" borderId="53" xfId="0" applyFont="1" applyBorder="1" applyAlignment="1">
      <alignment horizontal="left"/>
    </xf>
    <xf numFmtId="0" fontId="23" fillId="0" borderId="57" xfId="0" applyFont="1" applyBorder="1" applyAlignment="1">
      <alignment horizontal="left"/>
    </xf>
    <xf numFmtId="0" fontId="37" fillId="0" borderId="53" xfId="0" applyFont="1" applyBorder="1"/>
    <xf numFmtId="0" fontId="23" fillId="0" borderId="60" xfId="0" applyFont="1" applyBorder="1"/>
    <xf numFmtId="0" fontId="23" fillId="0" borderId="3" xfId="0" applyFont="1" applyBorder="1"/>
    <xf numFmtId="0" fontId="23" fillId="0" borderId="29" xfId="0" applyFont="1" applyBorder="1"/>
    <xf numFmtId="0" fontId="23" fillId="0" borderId="22" xfId="0" applyFont="1" applyBorder="1"/>
    <xf numFmtId="0" fontId="36" fillId="0" borderId="53" xfId="0" applyFont="1" applyBorder="1" applyAlignment="1">
      <alignment horizontal="fill" vertical="justify" wrapText="1"/>
    </xf>
    <xf numFmtId="0" fontId="37" fillId="0" borderId="0" xfId="0" applyFont="1" applyAlignment="1">
      <alignment horizontal="fill" vertical="justify" wrapText="1"/>
    </xf>
    <xf numFmtId="0" fontId="36" fillId="0" borderId="57" xfId="0" applyFont="1" applyBorder="1" applyAlignment="1">
      <alignment horizontal="justify" vertical="justify" wrapText="1"/>
    </xf>
    <xf numFmtId="0" fontId="36" fillId="0" borderId="53" xfId="0" applyFont="1" applyBorder="1" applyAlignment="1">
      <alignment horizontal="justify" vertical="justify" wrapText="1"/>
    </xf>
    <xf numFmtId="0" fontId="51" fillId="0" borderId="59" xfId="0" applyFont="1" applyBorder="1"/>
    <xf numFmtId="0" fontId="34" fillId="0" borderId="46" xfId="0" applyFont="1" applyBorder="1"/>
    <xf numFmtId="0" fontId="34" fillId="0" borderId="45" xfId="0" applyFont="1" applyBorder="1"/>
    <xf numFmtId="0" fontId="34" fillId="0" borderId="2" xfId="0" applyFont="1" applyBorder="1"/>
    <xf numFmtId="0" fontId="34" fillId="0" borderId="12" xfId="0" applyFont="1" applyBorder="1"/>
    <xf numFmtId="0" fontId="34" fillId="0" borderId="31" xfId="0" applyFont="1" applyBorder="1"/>
    <xf numFmtId="0" fontId="17" fillId="0" borderId="74" xfId="0" applyFont="1" applyBorder="1"/>
    <xf numFmtId="0" fontId="34" fillId="0" borderId="67" xfId="0" applyFont="1" applyBorder="1"/>
    <xf numFmtId="0" fontId="34" fillId="0" borderId="62" xfId="0" applyFont="1" applyBorder="1"/>
    <xf numFmtId="1" fontId="23" fillId="0" borderId="4" xfId="0" applyNumberFormat="1" applyFont="1" applyFill="1" applyBorder="1" applyAlignment="1">
      <alignment horizontal="left"/>
    </xf>
    <xf numFmtId="1" fontId="23" fillId="0" borderId="20" xfId="0" applyNumberFormat="1" applyFont="1" applyFill="1" applyBorder="1" applyAlignment="1">
      <alignment horizontal="left"/>
    </xf>
    <xf numFmtId="0" fontId="36" fillId="0" borderId="52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 vertical="center"/>
    </xf>
    <xf numFmtId="1" fontId="18" fillId="0" borderId="19" xfId="1" applyNumberFormat="1" applyFont="1" applyBorder="1" applyAlignment="1">
      <alignment horizontal="left"/>
    </xf>
    <xf numFmtId="1" fontId="19" fillId="0" borderId="72" xfId="0" applyNumberFormat="1" applyFont="1" applyBorder="1" applyAlignment="1">
      <alignment horizontal="left" vertical="center"/>
    </xf>
    <xf numFmtId="1" fontId="19" fillId="0" borderId="69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 vertical="center"/>
    </xf>
    <xf numFmtId="1" fontId="19" fillId="0" borderId="38" xfId="0" applyNumberFormat="1" applyFont="1" applyBorder="1" applyAlignment="1">
      <alignment horizontal="left" vertical="center"/>
    </xf>
    <xf numFmtId="1" fontId="18" fillId="0" borderId="7" xfId="1" applyNumberFormat="1" applyFont="1" applyBorder="1" applyAlignment="1">
      <alignment horizontal="left"/>
    </xf>
    <xf numFmtId="1" fontId="18" fillId="0" borderId="28" xfId="1" applyNumberFormat="1" applyFont="1" applyBorder="1" applyAlignment="1">
      <alignment horizontal="left"/>
    </xf>
    <xf numFmtId="1" fontId="18" fillId="0" borderId="7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1" fontId="38" fillId="0" borderId="56" xfId="0" applyNumberFormat="1" applyFont="1" applyBorder="1" applyAlignment="1">
      <alignment horizontal="left"/>
    </xf>
    <xf numFmtId="1" fontId="38" fillId="0" borderId="65" xfId="0" applyNumberFormat="1" applyFont="1" applyBorder="1" applyAlignment="1">
      <alignment horizontal="left"/>
    </xf>
    <xf numFmtId="1" fontId="18" fillId="0" borderId="56" xfId="0" applyNumberFormat="1" applyFont="1" applyBorder="1" applyAlignment="1">
      <alignment horizontal="left" vertical="center"/>
    </xf>
    <xf numFmtId="1" fontId="18" fillId="0" borderId="61" xfId="0" applyNumberFormat="1" applyFont="1" applyBorder="1" applyAlignment="1">
      <alignment horizontal="left" vertical="center"/>
    </xf>
    <xf numFmtId="1" fontId="38" fillId="0" borderId="61" xfId="0" applyNumberFormat="1" applyFont="1" applyBorder="1" applyAlignment="1">
      <alignment horizontal="left"/>
    </xf>
    <xf numFmtId="1" fontId="18" fillId="0" borderId="66" xfId="0" applyNumberFormat="1" applyFont="1" applyBorder="1" applyAlignment="1">
      <alignment horizontal="left" vertical="center"/>
    </xf>
    <xf numFmtId="0" fontId="49" fillId="0" borderId="29" xfId="0" applyFont="1" applyBorder="1"/>
    <xf numFmtId="2" fontId="19" fillId="0" borderId="15" xfId="1" applyNumberFormat="1" applyFont="1" applyBorder="1" applyAlignment="1">
      <alignment horizontal="right"/>
    </xf>
    <xf numFmtId="2" fontId="19" fillId="0" borderId="16" xfId="1" applyNumberFormat="1" applyFont="1" applyBorder="1" applyAlignment="1">
      <alignment horizontal="right"/>
    </xf>
    <xf numFmtId="2" fontId="20" fillId="0" borderId="47" xfId="0" applyNumberFormat="1" applyFont="1" applyBorder="1" applyAlignment="1">
      <alignment horizontal="left"/>
    </xf>
    <xf numFmtId="2" fontId="20" fillId="0" borderId="33" xfId="0" applyNumberFormat="1" applyFont="1" applyBorder="1" applyAlignment="1">
      <alignment horizontal="left"/>
    </xf>
    <xf numFmtId="2" fontId="20" fillId="0" borderId="4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0" fontId="36" fillId="0" borderId="55" xfId="0" applyFont="1" applyBorder="1" applyAlignment="1">
      <alignment horizontal="justify" vertical="justify" wrapText="1"/>
    </xf>
    <xf numFmtId="0" fontId="23" fillId="0" borderId="8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0" fontId="23" fillId="0" borderId="7" xfId="0" applyFont="1" applyBorder="1"/>
    <xf numFmtId="0" fontId="23" fillId="0" borderId="10" xfId="0" applyFont="1" applyBorder="1"/>
    <xf numFmtId="0" fontId="23" fillId="0" borderId="1" xfId="0" applyFont="1" applyBorder="1"/>
    <xf numFmtId="0" fontId="23" fillId="0" borderId="16" xfId="0" applyFont="1" applyBorder="1"/>
    <xf numFmtId="0" fontId="23" fillId="0" borderId="19" xfId="0" applyFont="1" applyBorder="1"/>
    <xf numFmtId="0" fontId="23" fillId="0" borderId="24" xfId="0" applyFont="1" applyBorder="1"/>
    <xf numFmtId="0" fontId="23" fillId="0" borderId="69" xfId="0" applyFont="1" applyBorder="1"/>
    <xf numFmtId="0" fontId="23" fillId="0" borderId="17" xfId="0" applyFont="1" applyBorder="1"/>
    <xf numFmtId="0" fontId="31" fillId="0" borderId="0" xfId="0" applyFont="1" applyAlignment="1">
      <alignment horizontal="left"/>
    </xf>
    <xf numFmtId="2" fontId="14" fillId="0" borderId="12" xfId="0" applyNumberFormat="1" applyFont="1" applyBorder="1" applyAlignment="1">
      <alignment horizontal="left" vertical="center"/>
    </xf>
    <xf numFmtId="2" fontId="14" fillId="0" borderId="46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left"/>
    </xf>
    <xf numFmtId="2" fontId="1" fillId="0" borderId="67" xfId="0" applyNumberFormat="1" applyFont="1" applyBorder="1" applyAlignment="1">
      <alignment horizontal="left"/>
    </xf>
    <xf numFmtId="2" fontId="14" fillId="0" borderId="11" xfId="0" applyNumberFormat="1" applyFont="1" applyBorder="1" applyAlignment="1">
      <alignment horizontal="left"/>
    </xf>
    <xf numFmtId="2" fontId="1" fillId="0" borderId="15" xfId="0" applyNumberFormat="1" applyFont="1" applyFill="1" applyBorder="1" applyAlignment="1">
      <alignment horizontal="left" vertical="top" wrapText="1"/>
    </xf>
    <xf numFmtId="2" fontId="14" fillId="0" borderId="18" xfId="0" applyNumberFormat="1" applyFont="1" applyBorder="1" applyAlignment="1">
      <alignment horizontal="left" vertical="center"/>
    </xf>
    <xf numFmtId="2" fontId="14" fillId="0" borderId="13" xfId="2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 wrapText="1"/>
    </xf>
    <xf numFmtId="2" fontId="14" fillId="0" borderId="1" xfId="0" applyNumberFormat="1" applyFont="1" applyFill="1" applyBorder="1" applyAlignment="1">
      <alignment horizontal="left"/>
    </xf>
    <xf numFmtId="2" fontId="14" fillId="0" borderId="13" xfId="1" applyNumberFormat="1" applyFont="1" applyBorder="1" applyAlignment="1">
      <alignment horizontal="left"/>
    </xf>
    <xf numFmtId="2" fontId="14" fillId="0" borderId="0" xfId="0" applyNumberFormat="1" applyFont="1" applyAlignment="1">
      <alignment horizontal="left"/>
    </xf>
    <xf numFmtId="2" fontId="1" fillId="0" borderId="45" xfId="0" applyNumberFormat="1" applyFont="1" applyFill="1" applyBorder="1" applyAlignment="1">
      <alignment horizontal="left" vertical="top" wrapText="1"/>
    </xf>
    <xf numFmtId="2" fontId="14" fillId="0" borderId="12" xfId="2" applyNumberFormat="1" applyFont="1" applyBorder="1" applyAlignment="1">
      <alignment horizontal="left"/>
    </xf>
    <xf numFmtId="2" fontId="14" fillId="0" borderId="67" xfId="2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 wrapText="1"/>
    </xf>
    <xf numFmtId="2" fontId="14" fillId="0" borderId="12" xfId="0" applyNumberFormat="1" applyFont="1" applyFill="1" applyBorder="1" applyAlignment="1">
      <alignment horizontal="left"/>
    </xf>
    <xf numFmtId="2" fontId="14" fillId="0" borderId="67" xfId="0" applyNumberFormat="1" applyFont="1" applyFill="1" applyBorder="1" applyAlignment="1">
      <alignment horizontal="left"/>
    </xf>
    <xf numFmtId="2" fontId="14" fillId="0" borderId="12" xfId="1" applyNumberFormat="1" applyFont="1" applyBorder="1" applyAlignment="1">
      <alignment horizontal="left"/>
    </xf>
    <xf numFmtId="2" fontId="14" fillId="0" borderId="67" xfId="1" applyNumberFormat="1" applyFont="1" applyBorder="1" applyAlignment="1">
      <alignment horizontal="left"/>
    </xf>
    <xf numFmtId="0" fontId="54" fillId="0" borderId="10" xfId="0" applyFont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7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" fontId="21" fillId="0" borderId="61" xfId="0" applyNumberFormat="1" applyFont="1" applyFill="1" applyBorder="1" applyAlignment="1">
      <alignment horizontal="center" vertical="justify" wrapText="1"/>
    </xf>
    <xf numFmtId="1" fontId="21" fillId="0" borderId="57" xfId="0" applyNumberFormat="1" applyFont="1" applyFill="1" applyBorder="1" applyAlignment="1">
      <alignment horizontal="center" vertical="justify" wrapText="1"/>
    </xf>
    <xf numFmtId="1" fontId="21" fillId="0" borderId="61" xfId="0" applyNumberFormat="1" applyFont="1" applyFill="1" applyBorder="1" applyAlignment="1">
      <alignment horizontal="center" vertical="center" wrapText="1"/>
    </xf>
    <xf numFmtId="1" fontId="21" fillId="0" borderId="57" xfId="0" applyNumberFormat="1" applyFont="1" applyFill="1" applyBorder="1" applyAlignment="1">
      <alignment horizontal="center" vertical="center" wrapText="1"/>
    </xf>
    <xf numFmtId="1" fontId="14" fillId="0" borderId="61" xfId="0" applyNumberFormat="1" applyFont="1" applyBorder="1" applyAlignment="1">
      <alignment horizontal="left" vertical="center" wrapText="1"/>
    </xf>
    <xf numFmtId="1" fontId="14" fillId="0" borderId="57" xfId="0" applyNumberFormat="1" applyFont="1" applyBorder="1" applyAlignment="1">
      <alignment horizontal="left" vertical="center" wrapText="1"/>
    </xf>
    <xf numFmtId="1" fontId="14" fillId="0" borderId="61" xfId="0" applyNumberFormat="1" applyFont="1" applyFill="1" applyBorder="1" applyAlignment="1">
      <alignment horizontal="center" vertical="center" wrapText="1"/>
    </xf>
    <xf numFmtId="1" fontId="14" fillId="0" borderId="57" xfId="0" applyNumberFormat="1" applyFont="1" applyFill="1" applyBorder="1" applyAlignment="1">
      <alignment horizontal="center" vertical="center" wrapText="1"/>
    </xf>
    <xf numFmtId="1" fontId="14" fillId="0" borderId="61" xfId="0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1" fontId="14" fillId="0" borderId="56" xfId="0" applyNumberFormat="1" applyFont="1" applyFill="1" applyBorder="1" applyAlignment="1">
      <alignment horizontal="left" vertical="center" wrapText="1"/>
    </xf>
    <xf numFmtId="1" fontId="14" fillId="0" borderId="65" xfId="0" applyNumberFormat="1" applyFont="1" applyFill="1" applyBorder="1" applyAlignment="1">
      <alignment horizontal="left" vertical="center" wrapText="1"/>
    </xf>
    <xf numFmtId="1" fontId="14" fillId="0" borderId="55" xfId="0" applyNumberFormat="1" applyFont="1" applyBorder="1" applyAlignment="1">
      <alignment horizontal="left" vertical="center" wrapText="1"/>
    </xf>
    <xf numFmtId="1" fontId="14" fillId="0" borderId="70" xfId="0" applyNumberFormat="1" applyFont="1" applyBorder="1" applyAlignment="1">
      <alignment horizontal="left" vertical="center" wrapText="1"/>
    </xf>
    <xf numFmtId="1" fontId="14" fillId="0" borderId="51" xfId="0" applyNumberFormat="1" applyFont="1" applyBorder="1" applyAlignment="1">
      <alignment horizontal="left" vertical="center" wrapText="1"/>
    </xf>
    <xf numFmtId="1" fontId="14" fillId="0" borderId="57" xfId="0" applyNumberFormat="1" applyFont="1" applyBorder="1" applyAlignment="1">
      <alignment horizontal="center" vertical="center" wrapText="1"/>
    </xf>
    <xf numFmtId="1" fontId="14" fillId="0" borderId="61" xfId="0" applyNumberFormat="1" applyFont="1" applyFill="1" applyBorder="1" applyAlignment="1">
      <alignment horizontal="left" vertical="center" wrapText="1"/>
    </xf>
    <xf numFmtId="1" fontId="14" fillId="0" borderId="55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4" fillId="0" borderId="37" xfId="0" applyNumberFormat="1" applyFont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justify" vertical="justify" wrapText="1"/>
    </xf>
    <xf numFmtId="1" fontId="14" fillId="0" borderId="57" xfId="0" applyNumberFormat="1" applyFont="1" applyBorder="1" applyAlignment="1">
      <alignment horizontal="justify" vertical="justify" wrapText="1"/>
    </xf>
    <xf numFmtId="1" fontId="14" fillId="0" borderId="70" xfId="0" applyNumberFormat="1" applyFont="1" applyFill="1" applyBorder="1" applyAlignment="1">
      <alignment horizontal="left" vertical="center" wrapText="1"/>
    </xf>
    <xf numFmtId="1" fontId="14" fillId="0" borderId="51" xfId="0" applyNumberFormat="1" applyFont="1" applyFill="1" applyBorder="1" applyAlignment="1">
      <alignment horizontal="left" vertical="center" wrapText="1"/>
    </xf>
    <xf numFmtId="1" fontId="14" fillId="0" borderId="61" xfId="0" applyNumberFormat="1" applyFont="1" applyBorder="1" applyAlignment="1">
      <alignment horizontal="center" vertical="justify" wrapText="1"/>
    </xf>
    <xf numFmtId="1" fontId="14" fillId="0" borderId="57" xfId="0" applyNumberFormat="1" applyFont="1" applyBorder="1" applyAlignment="1">
      <alignment horizontal="center" vertical="justify" wrapText="1"/>
    </xf>
    <xf numFmtId="1" fontId="14" fillId="0" borderId="70" xfId="0" applyNumberFormat="1" applyFont="1" applyBorder="1" applyAlignment="1">
      <alignment horizontal="center" vertical="center" wrapText="1"/>
    </xf>
    <xf numFmtId="1" fontId="14" fillId="0" borderId="52" xfId="0" applyNumberFormat="1" applyFont="1" applyBorder="1" applyAlignment="1">
      <alignment horizontal="center" vertical="center" wrapText="1"/>
    </xf>
    <xf numFmtId="1" fontId="14" fillId="0" borderId="51" xfId="0" applyNumberFormat="1" applyFont="1" applyBorder="1" applyAlignment="1">
      <alignment horizontal="center" vertical="center" wrapText="1"/>
    </xf>
    <xf numFmtId="1" fontId="14" fillId="0" borderId="70" xfId="0" applyNumberFormat="1" applyFont="1" applyFill="1" applyBorder="1" applyAlignment="1">
      <alignment horizontal="center" vertical="center" wrapText="1"/>
    </xf>
    <xf numFmtId="1" fontId="14" fillId="0" borderId="52" xfId="0" applyNumberFormat="1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1" fontId="14" fillId="0" borderId="51" xfId="0" applyNumberFormat="1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/>
    </xf>
    <xf numFmtId="0" fontId="53" fillId="0" borderId="44" xfId="0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center" wrapText="1"/>
    </xf>
    <xf numFmtId="1" fontId="21" fillId="0" borderId="57" xfId="0" applyNumberFormat="1" applyFont="1" applyBorder="1" applyAlignment="1">
      <alignment horizontal="center" vertical="center" wrapText="1"/>
    </xf>
    <xf numFmtId="1" fontId="21" fillId="0" borderId="55" xfId="0" applyNumberFormat="1" applyFont="1" applyBorder="1" applyAlignment="1">
      <alignment horizontal="center" vertical="center" wrapText="1"/>
    </xf>
    <xf numFmtId="1" fontId="21" fillId="0" borderId="55" xfId="0" applyNumberFormat="1" applyFont="1" applyFill="1" applyBorder="1" applyAlignment="1">
      <alignment horizontal="center" vertical="center" wrapText="1"/>
    </xf>
    <xf numFmtId="1" fontId="52" fillId="0" borderId="0" xfId="0" applyNumberFormat="1" applyFont="1" applyBorder="1" applyAlignment="1">
      <alignment horizontal="left"/>
    </xf>
    <xf numFmtId="1" fontId="21" fillId="0" borderId="70" xfId="0" applyNumberFormat="1" applyFont="1" applyBorder="1" applyAlignment="1">
      <alignment horizontal="center" vertical="center"/>
    </xf>
    <xf numFmtId="1" fontId="21" fillId="0" borderId="25" xfId="0" applyNumberFormat="1" applyFont="1" applyBorder="1" applyAlignment="1">
      <alignment horizontal="center" vertical="center"/>
    </xf>
    <xf numFmtId="1" fontId="21" fillId="0" borderId="61" xfId="0" applyNumberFormat="1" applyFont="1" applyFill="1" applyBorder="1" applyAlignment="1">
      <alignment horizontal="left" vertical="center" wrapText="1"/>
    </xf>
    <xf numFmtId="1" fontId="21" fillId="0" borderId="55" xfId="0" applyNumberFormat="1" applyFont="1" applyFill="1" applyBorder="1" applyAlignment="1">
      <alignment horizontal="left" vertical="center" wrapText="1"/>
    </xf>
    <xf numFmtId="1" fontId="21" fillId="0" borderId="70" xfId="0" applyNumberFormat="1" applyFont="1" applyFill="1" applyBorder="1" applyAlignment="1">
      <alignment horizontal="left" vertical="center" wrapText="1"/>
    </xf>
    <xf numFmtId="1" fontId="21" fillId="0" borderId="51" xfId="0" applyNumberFormat="1" applyFont="1" applyFill="1" applyBorder="1" applyAlignment="1">
      <alignment horizontal="left" vertical="center" wrapText="1"/>
    </xf>
    <xf numFmtId="1" fontId="49" fillId="0" borderId="0" xfId="0" applyNumberFormat="1" applyFont="1" applyFill="1" applyBorder="1" applyAlignment="1">
      <alignment horizontal="left"/>
    </xf>
    <xf numFmtId="1" fontId="21" fillId="0" borderId="23" xfId="0" applyNumberFormat="1" applyFont="1" applyBorder="1" applyAlignment="1">
      <alignment horizontal="left" vertical="center"/>
    </xf>
    <xf numFmtId="1" fontId="21" fillId="0" borderId="72" xfId="0" applyNumberFormat="1" applyFont="1" applyBorder="1" applyAlignment="1">
      <alignment horizontal="left" vertical="center"/>
    </xf>
    <xf numFmtId="1" fontId="21" fillId="0" borderId="61" xfId="0" applyNumberFormat="1" applyFont="1" applyFill="1" applyBorder="1" applyAlignment="1">
      <alignment horizontal="justify" vertical="justify" wrapText="1"/>
    </xf>
    <xf numFmtId="1" fontId="21" fillId="0" borderId="57" xfId="0" applyNumberFormat="1" applyFont="1" applyFill="1" applyBorder="1" applyAlignment="1">
      <alignment horizontal="justify" vertical="justify" wrapText="1"/>
    </xf>
    <xf numFmtId="1" fontId="21" fillId="0" borderId="32" xfId="0" applyNumberFormat="1" applyFont="1" applyFill="1" applyBorder="1" applyAlignment="1">
      <alignment horizontal="center" vertical="center" wrapText="1"/>
    </xf>
    <xf numFmtId="1" fontId="21" fillId="0" borderId="34" xfId="0" applyNumberFormat="1" applyFont="1" applyFill="1" applyBorder="1" applyAlignment="1">
      <alignment horizontal="center" vertical="center" wrapText="1"/>
    </xf>
    <xf numFmtId="1" fontId="21" fillId="0" borderId="56" xfId="0" applyNumberFormat="1" applyFont="1" applyFill="1" applyBorder="1" applyAlignment="1">
      <alignment horizontal="left" vertical="center" wrapText="1"/>
    </xf>
    <xf numFmtId="1" fontId="21" fillId="0" borderId="65" xfId="0" applyNumberFormat="1" applyFont="1" applyFill="1" applyBorder="1" applyAlignment="1">
      <alignment horizontal="left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1" fontId="19" fillId="0" borderId="61" xfId="0" applyNumberFormat="1" applyFont="1" applyFill="1" applyBorder="1" applyAlignment="1">
      <alignment horizontal="center" vertical="center" wrapText="1"/>
    </xf>
    <xf numFmtId="1" fontId="19" fillId="0" borderId="54" xfId="0" applyNumberFormat="1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1" fontId="19" fillId="0" borderId="61" xfId="0" applyNumberFormat="1" applyFont="1" applyBorder="1" applyAlignment="1">
      <alignment horizontal="center" vertical="center" wrapText="1"/>
    </xf>
    <xf numFmtId="1" fontId="19" fillId="0" borderId="57" xfId="0" applyNumberFormat="1" applyFont="1" applyBorder="1" applyAlignment="1">
      <alignment horizontal="center" vertical="center" wrapText="1"/>
    </xf>
    <xf numFmtId="1" fontId="19" fillId="0" borderId="55" xfId="0" applyNumberFormat="1" applyFont="1" applyFill="1" applyBorder="1" applyAlignment="1">
      <alignment horizontal="center" vertical="center" wrapText="1"/>
    </xf>
    <xf numFmtId="1" fontId="19" fillId="0" borderId="57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53" fillId="0" borderId="71" xfId="0" applyFont="1" applyBorder="1" applyAlignment="1">
      <alignment horizontal="center" vertical="center"/>
    </xf>
    <xf numFmtId="0" fontId="53" fillId="0" borderId="73" xfId="0" applyFont="1" applyBorder="1" applyAlignment="1">
      <alignment horizontal="center" vertical="center"/>
    </xf>
    <xf numFmtId="0" fontId="19" fillId="0" borderId="61" xfId="0" applyFont="1" applyBorder="1" applyAlignment="1">
      <alignment horizontal="justify" vertical="justify" wrapText="1"/>
    </xf>
    <xf numFmtId="0" fontId="19" fillId="0" borderId="57" xfId="0" applyFont="1" applyBorder="1" applyAlignment="1">
      <alignment horizontal="justify" vertical="justify" wrapText="1"/>
    </xf>
    <xf numFmtId="0" fontId="19" fillId="0" borderId="57" xfId="0" applyFont="1" applyFill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" fontId="21" fillId="0" borderId="70" xfId="0" applyNumberFormat="1" applyFont="1" applyFill="1" applyBorder="1" applyAlignment="1">
      <alignment horizontal="center" vertical="center" wrapText="1"/>
    </xf>
    <xf numFmtId="1" fontId="21" fillId="0" borderId="52" xfId="0" applyNumberFormat="1" applyFont="1" applyFill="1" applyBorder="1" applyAlignment="1">
      <alignment horizontal="center" vertical="center" wrapText="1"/>
    </xf>
    <xf numFmtId="1" fontId="21" fillId="0" borderId="51" xfId="0" applyNumberFormat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1" fontId="21" fillId="0" borderId="61" xfId="0" applyNumberFormat="1" applyFont="1" applyBorder="1" applyAlignment="1">
      <alignment horizontal="center" vertical="justify" wrapText="1"/>
    </xf>
    <xf numFmtId="1" fontId="21" fillId="0" borderId="57" xfId="0" applyNumberFormat="1" applyFont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4" fillId="0" borderId="44" xfId="0" applyFont="1" applyBorder="1" applyAlignment="1">
      <alignment horizontal="left" vertical="center"/>
    </xf>
    <xf numFmtId="0" fontId="14" fillId="0" borderId="80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justify" vertical="justify" wrapText="1"/>
    </xf>
    <xf numFmtId="0" fontId="1" fillId="0" borderId="57" xfId="0" applyFont="1" applyBorder="1" applyAlignment="1">
      <alignment horizontal="justify" vertical="justify" wrapText="1"/>
    </xf>
    <xf numFmtId="0" fontId="1" fillId="0" borderId="55" xfId="0" applyFont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justify" wrapText="1"/>
    </xf>
    <xf numFmtId="0" fontId="2" fillId="0" borderId="61" xfId="0" applyFont="1" applyFill="1" applyBorder="1" applyAlignment="1">
      <alignment horizontal="center" vertical="justify" wrapText="1"/>
    </xf>
    <xf numFmtId="0" fontId="2" fillId="0" borderId="57" xfId="0" applyFont="1" applyFill="1" applyBorder="1" applyAlignment="1">
      <alignment horizontal="center" vertical="justify" wrapText="1"/>
    </xf>
    <xf numFmtId="0" fontId="2" fillId="0" borderId="61" xfId="0" applyFont="1" applyBorder="1" applyAlignment="1">
      <alignment horizontal="center" vertical="justify" wrapText="1"/>
    </xf>
    <xf numFmtId="0" fontId="2" fillId="0" borderId="55" xfId="0" applyFont="1" applyFill="1" applyBorder="1" applyAlignment="1">
      <alignment horizontal="center" vertical="justify" wrapText="1"/>
    </xf>
    <xf numFmtId="0" fontId="2" fillId="0" borderId="57" xfId="0" applyFont="1" applyBorder="1" applyAlignment="1">
      <alignment horizontal="center" vertical="justify" wrapText="1"/>
    </xf>
    <xf numFmtId="0" fontId="6" fillId="0" borderId="0" xfId="0" applyFont="1" applyBorder="1" applyAlignment="1">
      <alignment horizontal="left"/>
    </xf>
    <xf numFmtId="0" fontId="19" fillId="0" borderId="4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7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</cellXfs>
  <cellStyles count="3">
    <cellStyle name="Comma" xfId="1" builtinId="3"/>
    <cellStyle name="Comma 18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X60"/>
  <sheetViews>
    <sheetView workbookViewId="0">
      <pane xSplit="1" topLeftCell="AT1" activePane="topRight" state="frozen"/>
      <selection pane="topRight" sqref="A1:XFD1048576"/>
    </sheetView>
  </sheetViews>
  <sheetFormatPr defaultRowHeight="16.5"/>
  <cols>
    <col min="1" max="1" width="65" style="66" bestFit="1" customWidth="1"/>
    <col min="2" max="2" width="3.85546875" style="66" customWidth="1"/>
    <col min="3" max="12" width="14.5703125" style="66" bestFit="1" customWidth="1"/>
    <col min="13" max="14" width="14.5703125" style="296" bestFit="1" customWidth="1"/>
    <col min="15" max="50" width="14.5703125" style="66" bestFit="1" customWidth="1"/>
    <col min="51" max="16384" width="9.140625" style="66"/>
  </cols>
  <sheetData>
    <row r="1" spans="1:50" ht="18.75" thickBot="1">
      <c r="A1" s="1056" t="s">
        <v>372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6"/>
      <c r="M1" s="1056"/>
      <c r="N1" s="1056"/>
      <c r="O1" s="1056"/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  <c r="AA1" s="1056"/>
      <c r="AB1" s="1056"/>
      <c r="AC1" s="1056"/>
      <c r="AD1" s="1056"/>
      <c r="AE1" s="1056"/>
      <c r="AF1" s="1056"/>
      <c r="AG1" s="1056"/>
      <c r="AH1" s="1056"/>
      <c r="AI1" s="1056"/>
      <c r="AJ1" s="1056"/>
      <c r="AK1" s="1056"/>
      <c r="AL1" s="1056"/>
      <c r="AM1" s="1056"/>
      <c r="AN1" s="1056"/>
      <c r="AO1" s="1056"/>
      <c r="AP1" s="1056"/>
      <c r="AQ1" s="1056"/>
      <c r="AR1" s="1056"/>
      <c r="AS1" s="1056"/>
      <c r="AT1" s="1056"/>
      <c r="AU1" s="1056"/>
      <c r="AV1" s="1056"/>
      <c r="AW1" s="1056"/>
      <c r="AX1" s="1056"/>
    </row>
    <row r="2" spans="1:50" ht="69" customHeight="1" thickBot="1">
      <c r="A2" s="1057" t="s">
        <v>0</v>
      </c>
      <c r="B2" s="476"/>
      <c r="C2" s="1059" t="s">
        <v>150</v>
      </c>
      <c r="D2" s="1060"/>
      <c r="E2" s="1061" t="s">
        <v>151</v>
      </c>
      <c r="F2" s="1062"/>
      <c r="G2" s="1061" t="s">
        <v>152</v>
      </c>
      <c r="H2" s="1062"/>
      <c r="I2" s="1061" t="s">
        <v>153</v>
      </c>
      <c r="J2" s="1062"/>
      <c r="K2" s="1061" t="s">
        <v>154</v>
      </c>
      <c r="L2" s="1062"/>
      <c r="M2" s="1061" t="s">
        <v>155</v>
      </c>
      <c r="N2" s="1062"/>
      <c r="O2" s="1061" t="s">
        <v>255</v>
      </c>
      <c r="P2" s="1062"/>
      <c r="Q2" s="1061" t="s">
        <v>156</v>
      </c>
      <c r="R2" s="1062"/>
      <c r="S2" s="1061" t="s">
        <v>157</v>
      </c>
      <c r="T2" s="1062"/>
      <c r="U2" s="1061" t="s">
        <v>158</v>
      </c>
      <c r="V2" s="1062"/>
      <c r="W2" s="1061" t="s">
        <v>159</v>
      </c>
      <c r="X2" s="1062"/>
      <c r="Y2" s="1061" t="s">
        <v>160</v>
      </c>
      <c r="Z2" s="1062"/>
      <c r="AA2" s="1061" t="s">
        <v>365</v>
      </c>
      <c r="AB2" s="1062"/>
      <c r="AC2" s="1061" t="s">
        <v>161</v>
      </c>
      <c r="AD2" s="1062"/>
      <c r="AE2" s="1061" t="s">
        <v>162</v>
      </c>
      <c r="AF2" s="1062"/>
      <c r="AG2" s="1061" t="s">
        <v>163</v>
      </c>
      <c r="AH2" s="1062"/>
      <c r="AI2" s="1061" t="s">
        <v>164</v>
      </c>
      <c r="AJ2" s="1062"/>
      <c r="AK2" s="1061" t="s">
        <v>165</v>
      </c>
      <c r="AL2" s="1062"/>
      <c r="AM2" s="1061" t="s">
        <v>166</v>
      </c>
      <c r="AN2" s="1062"/>
      <c r="AO2" s="1061" t="s">
        <v>167</v>
      </c>
      <c r="AP2" s="1062"/>
      <c r="AQ2" s="1061" t="s">
        <v>168</v>
      </c>
      <c r="AR2" s="1062"/>
      <c r="AS2" s="1061" t="s">
        <v>169</v>
      </c>
      <c r="AT2" s="1062"/>
      <c r="AU2" s="1061" t="s">
        <v>170</v>
      </c>
      <c r="AV2" s="1062"/>
      <c r="AW2" s="1061" t="s">
        <v>171</v>
      </c>
      <c r="AX2" s="1062"/>
    </row>
    <row r="3" spans="1:50" s="347" customFormat="1" ht="15" customHeight="1" thickBot="1">
      <c r="A3" s="1058"/>
      <c r="B3" s="488"/>
      <c r="C3" s="389" t="s">
        <v>253</v>
      </c>
      <c r="D3" s="389" t="s">
        <v>362</v>
      </c>
      <c r="E3" s="389" t="s">
        <v>253</v>
      </c>
      <c r="F3" s="389" t="s">
        <v>362</v>
      </c>
      <c r="G3" s="389" t="s">
        <v>253</v>
      </c>
      <c r="H3" s="389" t="s">
        <v>362</v>
      </c>
      <c r="I3" s="389" t="s">
        <v>253</v>
      </c>
      <c r="J3" s="389" t="s">
        <v>362</v>
      </c>
      <c r="K3" s="389" t="s">
        <v>253</v>
      </c>
      <c r="L3" s="389" t="s">
        <v>362</v>
      </c>
      <c r="M3" s="389" t="s">
        <v>253</v>
      </c>
      <c r="N3" s="389" t="s">
        <v>362</v>
      </c>
      <c r="O3" s="389" t="s">
        <v>253</v>
      </c>
      <c r="P3" s="389" t="s">
        <v>362</v>
      </c>
      <c r="Q3" s="389" t="s">
        <v>253</v>
      </c>
      <c r="R3" s="389" t="s">
        <v>362</v>
      </c>
      <c r="S3" s="389" t="s">
        <v>253</v>
      </c>
      <c r="T3" s="389" t="s">
        <v>362</v>
      </c>
      <c r="U3" s="389" t="s">
        <v>253</v>
      </c>
      <c r="V3" s="389" t="s">
        <v>362</v>
      </c>
      <c r="W3" s="389" t="s">
        <v>253</v>
      </c>
      <c r="X3" s="389" t="s">
        <v>362</v>
      </c>
      <c r="Y3" s="389" t="s">
        <v>253</v>
      </c>
      <c r="Z3" s="389" t="s">
        <v>362</v>
      </c>
      <c r="AA3" s="389" t="s">
        <v>253</v>
      </c>
      <c r="AB3" s="389" t="s">
        <v>362</v>
      </c>
      <c r="AC3" s="389" t="s">
        <v>253</v>
      </c>
      <c r="AD3" s="389" t="s">
        <v>362</v>
      </c>
      <c r="AE3" s="389" t="s">
        <v>253</v>
      </c>
      <c r="AF3" s="389" t="s">
        <v>362</v>
      </c>
      <c r="AG3" s="389" t="s">
        <v>253</v>
      </c>
      <c r="AH3" s="389" t="s">
        <v>362</v>
      </c>
      <c r="AI3" s="389" t="s">
        <v>253</v>
      </c>
      <c r="AJ3" s="389" t="s">
        <v>362</v>
      </c>
      <c r="AK3" s="389" t="s">
        <v>253</v>
      </c>
      <c r="AL3" s="389" t="s">
        <v>362</v>
      </c>
      <c r="AM3" s="389" t="s">
        <v>253</v>
      </c>
      <c r="AN3" s="389" t="s">
        <v>362</v>
      </c>
      <c r="AO3" s="389" t="s">
        <v>253</v>
      </c>
      <c r="AP3" s="389" t="s">
        <v>362</v>
      </c>
      <c r="AQ3" s="389" t="s">
        <v>253</v>
      </c>
      <c r="AR3" s="389" t="s">
        <v>362</v>
      </c>
      <c r="AS3" s="389" t="s">
        <v>253</v>
      </c>
      <c r="AT3" s="389" t="s">
        <v>362</v>
      </c>
      <c r="AU3" s="389" t="s">
        <v>253</v>
      </c>
      <c r="AV3" s="389" t="s">
        <v>362</v>
      </c>
      <c r="AW3" s="389" t="s">
        <v>253</v>
      </c>
      <c r="AX3" s="389" t="s">
        <v>362</v>
      </c>
    </row>
    <row r="4" spans="1:50" ht="15" customHeight="1">
      <c r="A4" s="313" t="s">
        <v>21</v>
      </c>
      <c r="B4" s="316"/>
      <c r="C4" s="314"/>
      <c r="D4" s="560"/>
      <c r="E4" s="315"/>
      <c r="F4" s="315"/>
      <c r="G4" s="318"/>
      <c r="H4" s="315"/>
      <c r="I4" s="315"/>
      <c r="J4" s="315"/>
      <c r="K4" s="315"/>
      <c r="L4" s="315"/>
      <c r="M4" s="321"/>
      <c r="N4" s="321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8"/>
      <c r="AX4" s="315"/>
    </row>
    <row r="5" spans="1:50" ht="25.5" customHeight="1">
      <c r="A5" s="260" t="s">
        <v>22</v>
      </c>
      <c r="B5" s="312" t="s">
        <v>175</v>
      </c>
      <c r="C5" s="308">
        <v>398333.74</v>
      </c>
      <c r="D5" s="561">
        <v>492138</v>
      </c>
      <c r="E5" s="310">
        <v>23123.88</v>
      </c>
      <c r="F5" s="310">
        <v>19557</v>
      </c>
      <c r="G5" s="319">
        <v>48240</v>
      </c>
      <c r="H5" s="310">
        <v>53303</v>
      </c>
      <c r="I5" s="310">
        <v>437680.44</v>
      </c>
      <c r="J5" s="310">
        <v>632858</v>
      </c>
      <c r="K5" s="310">
        <v>91238.64</v>
      </c>
      <c r="L5" s="310">
        <v>102388</v>
      </c>
      <c r="M5" s="322">
        <v>218383.17</v>
      </c>
      <c r="N5" s="322">
        <v>134868</v>
      </c>
      <c r="O5" s="310">
        <v>24960</v>
      </c>
      <c r="P5" s="564">
        <v>50468</v>
      </c>
      <c r="Q5" s="324">
        <v>44961.04</v>
      </c>
      <c r="R5" s="324">
        <v>55932</v>
      </c>
      <c r="S5" s="310">
        <v>131869.72</v>
      </c>
      <c r="T5" s="310">
        <v>158354</v>
      </c>
      <c r="U5" s="310">
        <v>42286.99</v>
      </c>
      <c r="V5" s="310">
        <v>29644</v>
      </c>
      <c r="W5" s="310">
        <v>1604509.03</v>
      </c>
      <c r="X5" s="310">
        <v>1928682</v>
      </c>
      <c r="Y5" s="310">
        <v>1448017.82</v>
      </c>
      <c r="Z5" s="310">
        <v>1640319</v>
      </c>
      <c r="AA5" s="328">
        <v>77491.27</v>
      </c>
      <c r="AB5" s="328">
        <v>57822</v>
      </c>
      <c r="AC5" s="310">
        <v>166755.60999999999</v>
      </c>
      <c r="AD5" s="310">
        <v>125166.23</v>
      </c>
      <c r="AE5" s="310">
        <v>360726.79</v>
      </c>
      <c r="AF5" s="310">
        <v>457838</v>
      </c>
      <c r="AG5" s="310">
        <v>728343.1</v>
      </c>
      <c r="AH5" s="310">
        <v>881527</v>
      </c>
      <c r="AI5" s="310">
        <v>222199.85</v>
      </c>
      <c r="AJ5" s="310">
        <v>285533</v>
      </c>
      <c r="AK5" s="310">
        <v>188909.92</v>
      </c>
      <c r="AL5" s="310">
        <v>205211</v>
      </c>
      <c r="AM5" s="331"/>
      <c r="AN5" s="331"/>
      <c r="AO5" s="332">
        <v>2073308.8</v>
      </c>
      <c r="AP5" s="315">
        <v>2309535</v>
      </c>
      <c r="AQ5" s="335">
        <v>66559.34</v>
      </c>
      <c r="AR5" s="335">
        <v>85024</v>
      </c>
      <c r="AS5" s="329">
        <v>112312.11</v>
      </c>
      <c r="AT5" s="329">
        <v>181572</v>
      </c>
      <c r="AU5" s="310">
        <v>426908.51</v>
      </c>
      <c r="AV5" s="310">
        <v>320297</v>
      </c>
      <c r="AW5" s="569"/>
      <c r="AX5" s="329"/>
    </row>
    <row r="6" spans="1:50">
      <c r="A6" s="260" t="s">
        <v>176</v>
      </c>
      <c r="B6" s="317"/>
      <c r="C6" s="308">
        <v>-14694.01</v>
      </c>
      <c r="D6" s="561">
        <v>-21894</v>
      </c>
      <c r="E6" s="310">
        <v>-3432.19</v>
      </c>
      <c r="F6" s="310">
        <v>-3975</v>
      </c>
      <c r="G6" s="319">
        <v>-3394</v>
      </c>
      <c r="H6" s="310">
        <v>-4117</v>
      </c>
      <c r="I6" s="310">
        <v>-4597.13</v>
      </c>
      <c r="J6" s="310">
        <v>-6800</v>
      </c>
      <c r="K6" s="310">
        <v>-1512.81</v>
      </c>
      <c r="L6" s="310">
        <v>-1662</v>
      </c>
      <c r="M6" s="322">
        <v>-6572.6</v>
      </c>
      <c r="N6" s="322">
        <v>-1321</v>
      </c>
      <c r="O6" s="310">
        <v>-1742</v>
      </c>
      <c r="P6" s="310">
        <v>-2579</v>
      </c>
      <c r="Q6" s="325">
        <v>-1843.25</v>
      </c>
      <c r="R6" s="325">
        <v>-1699</v>
      </c>
      <c r="S6" s="310">
        <v>-4779.13</v>
      </c>
      <c r="T6" s="310">
        <v>-9301</v>
      </c>
      <c r="U6" s="310">
        <v>-2448.59</v>
      </c>
      <c r="V6" s="310">
        <v>-1379</v>
      </c>
      <c r="W6" s="310">
        <v>-27781.24</v>
      </c>
      <c r="X6" s="310">
        <v>-30438</v>
      </c>
      <c r="Y6" s="310">
        <v>-35692.36</v>
      </c>
      <c r="Z6" s="310">
        <v>-51481</v>
      </c>
      <c r="AA6" s="328">
        <v>-691.03</v>
      </c>
      <c r="AB6" s="328">
        <v>-460</v>
      </c>
      <c r="AC6" s="310">
        <v>-6265.34</v>
      </c>
      <c r="AD6" s="310">
        <v>-4311.7</v>
      </c>
      <c r="AE6" s="310">
        <v>-9458.25</v>
      </c>
      <c r="AF6" s="310">
        <v>-11649</v>
      </c>
      <c r="AG6" s="310">
        <v>-14616.16</v>
      </c>
      <c r="AH6" s="310">
        <v>-21108</v>
      </c>
      <c r="AI6" s="310">
        <v>-9890.44</v>
      </c>
      <c r="AJ6" s="310">
        <v>-18158</v>
      </c>
      <c r="AK6" s="310">
        <v>-1035.4100000000001</v>
      </c>
      <c r="AL6" s="310">
        <v>-1407</v>
      </c>
      <c r="AM6" s="331"/>
      <c r="AN6" s="331"/>
      <c r="AO6" s="332">
        <v>-28703.96</v>
      </c>
      <c r="AP6" s="332">
        <v>-12216</v>
      </c>
      <c r="AQ6" s="335">
        <v>-267.31</v>
      </c>
      <c r="AR6" s="335">
        <v>-452</v>
      </c>
      <c r="AS6" s="329">
        <v>-8918.4599999999991</v>
      </c>
      <c r="AT6" s="329">
        <v>-15486</v>
      </c>
      <c r="AU6" s="310">
        <v>-14720.26</v>
      </c>
      <c r="AV6" s="310">
        <v>-8539</v>
      </c>
      <c r="AW6" s="569"/>
      <c r="AX6" s="329"/>
    </row>
    <row r="7" spans="1:50">
      <c r="A7" s="260" t="s">
        <v>177</v>
      </c>
      <c r="B7" s="317"/>
      <c r="C7" s="308"/>
      <c r="D7" s="561"/>
      <c r="E7" s="310"/>
      <c r="F7" s="310"/>
      <c r="G7" s="319"/>
      <c r="H7" s="310"/>
      <c r="I7" s="310"/>
      <c r="J7" s="310"/>
      <c r="K7" s="310"/>
      <c r="L7" s="310"/>
      <c r="M7" s="322"/>
      <c r="N7" s="322"/>
      <c r="O7" s="310"/>
      <c r="P7" s="310"/>
      <c r="Q7" s="325"/>
      <c r="R7" s="325"/>
      <c r="S7" s="310"/>
      <c r="T7" s="310"/>
      <c r="U7" s="310"/>
      <c r="V7" s="310"/>
      <c r="W7" s="310"/>
      <c r="X7" s="310"/>
      <c r="Y7" s="310"/>
      <c r="Z7" s="310"/>
      <c r="AA7" s="328"/>
      <c r="AB7" s="328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31"/>
      <c r="AN7" s="331"/>
      <c r="AO7" s="299"/>
      <c r="AP7" s="299"/>
      <c r="AQ7" s="335"/>
      <c r="AR7" s="335"/>
      <c r="AS7" s="329"/>
      <c r="AT7" s="329"/>
      <c r="AU7" s="310"/>
      <c r="AV7" s="310"/>
      <c r="AW7" s="569"/>
      <c r="AX7" s="329"/>
    </row>
    <row r="8" spans="1:50" s="912" customFormat="1" ht="18">
      <c r="A8" s="312" t="s">
        <v>178</v>
      </c>
      <c r="B8" s="1012"/>
      <c r="C8" s="309">
        <f>SUM(C5:C7)</f>
        <v>383639.73</v>
      </c>
      <c r="D8" s="309">
        <f>SUM(D5:D7)</f>
        <v>470244</v>
      </c>
      <c r="E8" s="311"/>
      <c r="F8" s="311"/>
      <c r="G8" s="320">
        <f t="shared" ref="G8:L8" si="0">SUM(G5:G7)</f>
        <v>44846</v>
      </c>
      <c r="H8" s="320">
        <f t="shared" si="0"/>
        <v>49186</v>
      </c>
      <c r="I8" s="311">
        <f t="shared" si="0"/>
        <v>433083.31</v>
      </c>
      <c r="J8" s="311">
        <f t="shared" si="0"/>
        <v>626058</v>
      </c>
      <c r="K8" s="311">
        <f t="shared" si="0"/>
        <v>89725.83</v>
      </c>
      <c r="L8" s="311">
        <f t="shared" si="0"/>
        <v>100726</v>
      </c>
      <c r="M8" s="311">
        <f t="shared" ref="M8:AV8" si="1">SUM(M5:M7)</f>
        <v>211810.57</v>
      </c>
      <c r="N8" s="311">
        <f t="shared" si="1"/>
        <v>133547</v>
      </c>
      <c r="O8" s="311">
        <f t="shared" si="1"/>
        <v>23218</v>
      </c>
      <c r="P8" s="311">
        <f t="shared" si="1"/>
        <v>47889</v>
      </c>
      <c r="Q8" s="311">
        <f t="shared" si="1"/>
        <v>43117.79</v>
      </c>
      <c r="R8" s="311">
        <f t="shared" si="1"/>
        <v>54233</v>
      </c>
      <c r="S8" s="311">
        <f t="shared" si="1"/>
        <v>127090.59</v>
      </c>
      <c r="T8" s="311">
        <f t="shared" si="1"/>
        <v>149053</v>
      </c>
      <c r="U8" s="311">
        <f t="shared" si="1"/>
        <v>39838.399999999994</v>
      </c>
      <c r="V8" s="311">
        <f t="shared" si="1"/>
        <v>28265</v>
      </c>
      <c r="W8" s="311">
        <f t="shared" si="1"/>
        <v>1576727.79</v>
      </c>
      <c r="X8" s="311">
        <f t="shared" si="1"/>
        <v>1898244</v>
      </c>
      <c r="Y8" s="311">
        <f t="shared" si="1"/>
        <v>1412325.46</v>
      </c>
      <c r="Z8" s="311">
        <f t="shared" si="1"/>
        <v>1588838</v>
      </c>
      <c r="AA8" s="311">
        <f t="shared" si="1"/>
        <v>76800.240000000005</v>
      </c>
      <c r="AB8" s="311">
        <f t="shared" si="1"/>
        <v>57362</v>
      </c>
      <c r="AC8" s="311">
        <f t="shared" si="1"/>
        <v>160490.26999999999</v>
      </c>
      <c r="AD8" s="311">
        <f t="shared" si="1"/>
        <v>120854.53</v>
      </c>
      <c r="AE8" s="311">
        <f t="shared" si="1"/>
        <v>351268.54</v>
      </c>
      <c r="AF8" s="311">
        <f t="shared" si="1"/>
        <v>446189</v>
      </c>
      <c r="AG8" s="311">
        <f t="shared" si="1"/>
        <v>713726.94</v>
      </c>
      <c r="AH8" s="311">
        <f t="shared" si="1"/>
        <v>860419</v>
      </c>
      <c r="AI8" s="311">
        <f t="shared" si="1"/>
        <v>212309.41</v>
      </c>
      <c r="AJ8" s="311">
        <f t="shared" si="1"/>
        <v>267375</v>
      </c>
      <c r="AK8" s="311">
        <f t="shared" si="1"/>
        <v>187874.51</v>
      </c>
      <c r="AL8" s="311">
        <f t="shared" si="1"/>
        <v>203804</v>
      </c>
      <c r="AM8" s="311">
        <f t="shared" si="1"/>
        <v>0</v>
      </c>
      <c r="AN8" s="311">
        <f t="shared" si="1"/>
        <v>0</v>
      </c>
      <c r="AO8" s="311">
        <f t="shared" si="1"/>
        <v>2044604.84</v>
      </c>
      <c r="AP8" s="311">
        <f t="shared" si="1"/>
        <v>2297319</v>
      </c>
      <c r="AQ8" s="311">
        <f t="shared" si="1"/>
        <v>66292.03</v>
      </c>
      <c r="AR8" s="311">
        <f t="shared" si="1"/>
        <v>84572</v>
      </c>
      <c r="AS8" s="311">
        <f t="shared" si="1"/>
        <v>103393.65</v>
      </c>
      <c r="AT8" s="311">
        <f t="shared" si="1"/>
        <v>166086</v>
      </c>
      <c r="AU8" s="311">
        <f t="shared" si="1"/>
        <v>412188.25</v>
      </c>
      <c r="AV8" s="311">
        <f t="shared" si="1"/>
        <v>311758</v>
      </c>
      <c r="AW8" s="1013">
        <f>SUM(AW5:AW7)</f>
        <v>0</v>
      </c>
      <c r="AX8" s="1014">
        <f>SUM(AX5:AX7)</f>
        <v>0</v>
      </c>
    </row>
    <row r="9" spans="1:50" ht="17.25">
      <c r="A9" s="312" t="s">
        <v>179</v>
      </c>
      <c r="B9" s="317"/>
      <c r="C9" s="309"/>
      <c r="D9" s="562"/>
      <c r="E9" s="311"/>
      <c r="F9" s="311"/>
      <c r="G9" s="320"/>
      <c r="H9" s="311"/>
      <c r="I9" s="311"/>
      <c r="J9" s="311"/>
      <c r="K9" s="311"/>
      <c r="L9" s="311"/>
      <c r="M9" s="323"/>
      <c r="N9" s="323"/>
      <c r="O9" s="311"/>
      <c r="P9" s="311"/>
      <c r="Q9" s="326"/>
      <c r="R9" s="326"/>
      <c r="S9" s="311"/>
      <c r="T9" s="311"/>
      <c r="U9" s="311"/>
      <c r="V9" s="311"/>
      <c r="W9" s="311"/>
      <c r="X9" s="311"/>
      <c r="Y9" s="311"/>
      <c r="Z9" s="311"/>
      <c r="AA9" s="328"/>
      <c r="AB9" s="328"/>
      <c r="AC9" s="311"/>
      <c r="AD9" s="311"/>
      <c r="AE9" s="330"/>
      <c r="AF9" s="330"/>
      <c r="AG9" s="311"/>
      <c r="AH9" s="311"/>
      <c r="AI9" s="311"/>
      <c r="AJ9" s="311"/>
      <c r="AK9" s="311"/>
      <c r="AL9" s="311"/>
      <c r="AM9" s="331"/>
      <c r="AN9" s="331"/>
      <c r="AO9" s="299"/>
      <c r="AP9" s="299"/>
      <c r="AQ9" s="335"/>
      <c r="AR9" s="335"/>
      <c r="AS9" s="329"/>
      <c r="AT9" s="329"/>
      <c r="AU9" s="311"/>
      <c r="AV9" s="311"/>
      <c r="AW9" s="320"/>
      <c r="AX9" s="311"/>
    </row>
    <row r="10" spans="1:50" ht="17.25">
      <c r="A10" s="260" t="s">
        <v>180</v>
      </c>
      <c r="B10" s="317"/>
      <c r="C10" s="308">
        <v>124443.96</v>
      </c>
      <c r="D10" s="561">
        <v>139580</v>
      </c>
      <c r="E10" s="310">
        <v>7204.77</v>
      </c>
      <c r="F10" s="310">
        <v>8054</v>
      </c>
      <c r="G10" s="319">
        <v>28468</v>
      </c>
      <c r="H10" s="310">
        <v>32481</v>
      </c>
      <c r="I10" s="310">
        <v>129501.49</v>
      </c>
      <c r="J10" s="310">
        <v>150484</v>
      </c>
      <c r="K10" s="310">
        <v>24488.79</v>
      </c>
      <c r="L10" s="310">
        <v>29166</v>
      </c>
      <c r="M10" s="322">
        <v>41128.879999999997</v>
      </c>
      <c r="N10" s="322">
        <v>25587</v>
      </c>
      <c r="O10" s="310">
        <v>7832</v>
      </c>
      <c r="P10" s="310">
        <v>17061</v>
      </c>
      <c r="Q10" s="325">
        <v>9608.76</v>
      </c>
      <c r="R10" s="325">
        <v>12624</v>
      </c>
      <c r="S10" s="310">
        <v>48864.34</v>
      </c>
      <c r="T10" s="310">
        <v>58503</v>
      </c>
      <c r="U10" s="310">
        <v>14497.26</v>
      </c>
      <c r="V10" s="310">
        <v>9017</v>
      </c>
      <c r="W10" s="310">
        <v>377374.92</v>
      </c>
      <c r="X10" s="310">
        <v>463968</v>
      </c>
      <c r="Y10" s="310">
        <v>325190.96000000002</v>
      </c>
      <c r="Z10" s="310">
        <v>400564</v>
      </c>
      <c r="AA10" s="310">
        <v>30725.64</v>
      </c>
      <c r="AB10" s="310">
        <v>18064</v>
      </c>
      <c r="AC10" s="310">
        <v>43284.56</v>
      </c>
      <c r="AD10" s="310">
        <v>23981.4</v>
      </c>
      <c r="AE10" s="310">
        <v>99997.73</v>
      </c>
      <c r="AF10" s="310">
        <v>115112</v>
      </c>
      <c r="AG10" s="310">
        <v>214066.32</v>
      </c>
      <c r="AH10" s="310">
        <v>254230</v>
      </c>
      <c r="AI10" s="310">
        <v>72069.39</v>
      </c>
      <c r="AJ10" s="310">
        <v>86257</v>
      </c>
      <c r="AK10" s="310">
        <v>61722.37</v>
      </c>
      <c r="AL10" s="310">
        <v>72017</v>
      </c>
      <c r="AM10" s="331"/>
      <c r="AN10" s="331"/>
      <c r="AO10" s="332">
        <v>475655.85</v>
      </c>
      <c r="AP10" s="332">
        <v>549943</v>
      </c>
      <c r="AQ10" s="335">
        <v>15573.67</v>
      </c>
      <c r="AR10" s="335">
        <v>19761</v>
      </c>
      <c r="AS10" s="329">
        <v>28663.25</v>
      </c>
      <c r="AT10" s="329">
        <v>37142</v>
      </c>
      <c r="AU10" s="311">
        <v>75215.399999999994</v>
      </c>
      <c r="AV10" s="311">
        <v>51806</v>
      </c>
      <c r="AW10" s="569"/>
      <c r="AX10" s="329"/>
    </row>
    <row r="11" spans="1:50">
      <c r="A11" s="260" t="s">
        <v>181</v>
      </c>
      <c r="B11" s="317"/>
      <c r="C11" s="308">
        <v>89001.35</v>
      </c>
      <c r="D11" s="561">
        <v>140261</v>
      </c>
      <c r="E11" s="310">
        <v>5888.5</v>
      </c>
      <c r="F11" s="310">
        <v>12047</v>
      </c>
      <c r="G11" s="319">
        <v>10584</v>
      </c>
      <c r="H11" s="310">
        <v>21704</v>
      </c>
      <c r="I11" s="310">
        <v>150014.19</v>
      </c>
      <c r="J11" s="310">
        <v>217747</v>
      </c>
      <c r="K11" s="310">
        <v>9963.3799999999992</v>
      </c>
      <c r="L11" s="310">
        <v>23686</v>
      </c>
      <c r="M11" s="322">
        <v>39331.69</v>
      </c>
      <c r="N11" s="322">
        <v>26700</v>
      </c>
      <c r="O11" s="310">
        <v>2975</v>
      </c>
      <c r="P11" s="310">
        <v>1320</v>
      </c>
      <c r="Q11" s="325">
        <v>9165.39</v>
      </c>
      <c r="R11" s="325">
        <v>11624</v>
      </c>
      <c r="S11" s="310">
        <v>7131.91</v>
      </c>
      <c r="T11" s="310">
        <v>18146</v>
      </c>
      <c r="U11" s="310">
        <v>8214.68</v>
      </c>
      <c r="V11" s="310">
        <v>2009</v>
      </c>
      <c r="W11" s="310">
        <v>302360.76</v>
      </c>
      <c r="X11" s="310">
        <v>429862</v>
      </c>
      <c r="Y11" s="310">
        <v>521556.25</v>
      </c>
      <c r="Z11" s="310">
        <v>748981</v>
      </c>
      <c r="AA11" s="310">
        <v>7128.26</v>
      </c>
      <c r="AB11" s="310">
        <v>7094</v>
      </c>
      <c r="AC11" s="310">
        <v>24048.98</v>
      </c>
      <c r="AD11" s="310">
        <v>39479.379999999997</v>
      </c>
      <c r="AE11" s="310">
        <v>64616.62</v>
      </c>
      <c r="AF11" s="310">
        <v>95852</v>
      </c>
      <c r="AG11" s="310">
        <v>158811.59</v>
      </c>
      <c r="AH11" s="310">
        <v>353992</v>
      </c>
      <c r="AI11" s="310">
        <v>25847.71</v>
      </c>
      <c r="AJ11" s="310">
        <v>59704</v>
      </c>
      <c r="AK11" s="310">
        <v>24358.53</v>
      </c>
      <c r="AL11" s="310">
        <v>55679</v>
      </c>
      <c r="AM11" s="331"/>
      <c r="AN11" s="331"/>
      <c r="AO11" s="332">
        <v>319980.18</v>
      </c>
      <c r="AP11" s="332">
        <v>527673</v>
      </c>
      <c r="AQ11" s="335">
        <v>6823.97</v>
      </c>
      <c r="AR11" s="335">
        <v>3296</v>
      </c>
      <c r="AS11" s="329">
        <v>20772.22</v>
      </c>
      <c r="AT11" s="329">
        <v>37899</v>
      </c>
      <c r="AU11" s="310">
        <v>76397.990000000005</v>
      </c>
      <c r="AV11" s="310">
        <v>142284</v>
      </c>
      <c r="AW11" s="569"/>
      <c r="AX11" s="329"/>
    </row>
    <row r="12" spans="1:50" ht="17.25">
      <c r="A12" s="260" t="s">
        <v>182</v>
      </c>
      <c r="B12" s="317"/>
      <c r="C12" s="308">
        <v>-51973.25</v>
      </c>
      <c r="D12" s="561">
        <v>-13717</v>
      </c>
      <c r="E12" s="310">
        <v>-3685.11</v>
      </c>
      <c r="F12" s="310">
        <v>-1216</v>
      </c>
      <c r="G12" s="319">
        <v>-19258</v>
      </c>
      <c r="H12" s="310">
        <v>-1671</v>
      </c>
      <c r="I12" s="310">
        <v>-99070.92</v>
      </c>
      <c r="J12" s="310">
        <v>-32713</v>
      </c>
      <c r="K12" s="310">
        <v>-4021.3</v>
      </c>
      <c r="L12" s="310">
        <v>-2157</v>
      </c>
      <c r="M12" s="322">
        <v>-51320.38</v>
      </c>
      <c r="N12" s="322">
        <v>-2773</v>
      </c>
      <c r="O12" s="310">
        <v>-38</v>
      </c>
      <c r="P12" s="310">
        <v>-366</v>
      </c>
      <c r="Q12" s="325">
        <v>-5604.89</v>
      </c>
      <c r="R12" s="325">
        <v>-1535</v>
      </c>
      <c r="S12" s="310">
        <v>-69.06</v>
      </c>
      <c r="T12" s="310">
        <v>-329</v>
      </c>
      <c r="U12" s="310">
        <v>-2526.46</v>
      </c>
      <c r="V12" s="310">
        <v>-810</v>
      </c>
      <c r="W12" s="310">
        <v>-150876.74</v>
      </c>
      <c r="X12" s="310">
        <v>-44960</v>
      </c>
      <c r="Y12" s="310">
        <v>-474207.61</v>
      </c>
      <c r="Z12" s="310">
        <v>-20849</v>
      </c>
      <c r="AA12" s="310">
        <v>-16677.439999999999</v>
      </c>
      <c r="AB12" s="310">
        <v>-361</v>
      </c>
      <c r="AC12" s="310">
        <v>-16864.490000000002</v>
      </c>
      <c r="AD12" s="310">
        <v>-2519.06</v>
      </c>
      <c r="AE12" s="330">
        <v>-33600.129999999997</v>
      </c>
      <c r="AF12" s="310">
        <v>-12848</v>
      </c>
      <c r="AG12" s="310">
        <v>-99331.58</v>
      </c>
      <c r="AH12" s="310">
        <v>-43684</v>
      </c>
      <c r="AI12" s="310">
        <v>-14081.45</v>
      </c>
      <c r="AJ12" s="310">
        <v>-11957</v>
      </c>
      <c r="AK12" s="310">
        <v>-15886.7</v>
      </c>
      <c r="AL12" s="310">
        <v>-4849</v>
      </c>
      <c r="AM12" s="331"/>
      <c r="AN12" s="331"/>
      <c r="AO12" s="332">
        <v>-159646.79</v>
      </c>
      <c r="AP12" s="332">
        <v>-39404</v>
      </c>
      <c r="AQ12" s="335">
        <v>-3276.4</v>
      </c>
      <c r="AR12" s="335">
        <v>-151</v>
      </c>
      <c r="AS12" s="329">
        <v>-11265.08</v>
      </c>
      <c r="AT12" s="329">
        <v>-3028</v>
      </c>
      <c r="AU12" s="310">
        <v>-25456.86</v>
      </c>
      <c r="AV12" s="310">
        <v>-11552</v>
      </c>
      <c r="AW12" s="569"/>
      <c r="AX12" s="329"/>
    </row>
    <row r="13" spans="1:50" ht="17.25">
      <c r="A13" s="260" t="s">
        <v>183</v>
      </c>
      <c r="B13" s="317"/>
      <c r="C13" s="308"/>
      <c r="D13" s="561">
        <v>7178</v>
      </c>
      <c r="E13" s="310">
        <v>12387.46</v>
      </c>
      <c r="F13" s="310">
        <v>4271</v>
      </c>
      <c r="G13" s="319">
        <v>48080</v>
      </c>
      <c r="H13" s="310">
        <v>29108</v>
      </c>
      <c r="I13" s="310">
        <v>367438.62</v>
      </c>
      <c r="J13" s="310">
        <v>249770</v>
      </c>
      <c r="K13" s="310">
        <v>17824.740000000002</v>
      </c>
      <c r="L13" s="310">
        <v>10054</v>
      </c>
      <c r="M13" s="322">
        <v>151284.92000000001</v>
      </c>
      <c r="N13" s="322">
        <v>74487</v>
      </c>
      <c r="O13" s="310">
        <v>744</v>
      </c>
      <c r="P13" s="310">
        <v>3723</v>
      </c>
      <c r="Q13" s="325">
        <v>16003.13</v>
      </c>
      <c r="R13" s="325">
        <v>13302</v>
      </c>
      <c r="S13" s="310">
        <v>21444.1</v>
      </c>
      <c r="T13" s="310">
        <v>12691</v>
      </c>
      <c r="U13" s="310">
        <v>4240.42</v>
      </c>
      <c r="V13" s="310">
        <v>1617</v>
      </c>
      <c r="W13" s="310">
        <v>977932.12</v>
      </c>
      <c r="X13" s="310">
        <v>734824</v>
      </c>
      <c r="Y13" s="310">
        <v>1698677.25</v>
      </c>
      <c r="Z13" s="310">
        <v>1127351</v>
      </c>
      <c r="AA13" s="310">
        <v>43837.58</v>
      </c>
      <c r="AB13" s="310">
        <v>23055</v>
      </c>
      <c r="AC13" s="310">
        <v>57949.02</v>
      </c>
      <c r="AD13" s="310">
        <v>8473.6</v>
      </c>
      <c r="AE13" s="330">
        <v>175841.2</v>
      </c>
      <c r="AF13" s="310">
        <v>145400</v>
      </c>
      <c r="AG13" s="310">
        <v>249221.79</v>
      </c>
      <c r="AH13" s="310">
        <v>78295</v>
      </c>
      <c r="AI13" s="310">
        <v>77865.070000000007</v>
      </c>
      <c r="AJ13" s="310">
        <v>69775</v>
      </c>
      <c r="AK13" s="310">
        <v>67738.63</v>
      </c>
      <c r="AL13" s="310">
        <v>42256</v>
      </c>
      <c r="AM13" s="331"/>
      <c r="AN13" s="331"/>
      <c r="AO13" s="332">
        <v>781327.5</v>
      </c>
      <c r="AP13" s="332">
        <v>775418</v>
      </c>
      <c r="AQ13" s="335"/>
      <c r="AR13" s="335"/>
      <c r="AS13" s="329"/>
      <c r="AT13" s="329"/>
      <c r="AU13" s="310">
        <v>236359.18</v>
      </c>
      <c r="AV13" s="310">
        <v>71637</v>
      </c>
      <c r="AW13" s="569"/>
      <c r="AX13" s="329"/>
    </row>
    <row r="14" spans="1:50" ht="17.25">
      <c r="A14" s="260" t="s">
        <v>184</v>
      </c>
      <c r="B14" s="317"/>
      <c r="C14" s="309">
        <v>228268.68</v>
      </c>
      <c r="D14" s="562">
        <v>412829</v>
      </c>
      <c r="E14" s="311">
        <v>959.94</v>
      </c>
      <c r="F14" s="311">
        <v>1201</v>
      </c>
      <c r="G14" s="320"/>
      <c r="H14" s="311"/>
      <c r="I14" s="311">
        <v>4759.97</v>
      </c>
      <c r="J14" s="311">
        <v>6071</v>
      </c>
      <c r="K14" s="311"/>
      <c r="L14" s="311"/>
      <c r="M14" s="323"/>
      <c r="N14" s="323">
        <v>1731</v>
      </c>
      <c r="O14" s="311">
        <v>-250</v>
      </c>
      <c r="P14" s="311">
        <v>-474</v>
      </c>
      <c r="Q14" s="326"/>
      <c r="R14" s="326"/>
      <c r="S14" s="311"/>
      <c r="T14" s="311">
        <v>-324</v>
      </c>
      <c r="U14" s="311"/>
      <c r="V14" s="311">
        <v>198</v>
      </c>
      <c r="W14" s="311"/>
      <c r="X14" s="311"/>
      <c r="Y14" s="311">
        <v>30438.639999999999</v>
      </c>
      <c r="Z14" s="311">
        <v>19563</v>
      </c>
      <c r="AA14" s="328">
        <v>728.77</v>
      </c>
      <c r="AB14" s="328">
        <v>177</v>
      </c>
      <c r="AC14" s="311">
        <v>-318.8</v>
      </c>
      <c r="AD14" s="311">
        <v>-360.03</v>
      </c>
      <c r="AE14" s="330"/>
      <c r="AF14" s="330">
        <v>2765</v>
      </c>
      <c r="AG14" s="311"/>
      <c r="AH14" s="311">
        <v>2710</v>
      </c>
      <c r="AI14" s="311">
        <v>887.52</v>
      </c>
      <c r="AJ14" s="311">
        <v>955</v>
      </c>
      <c r="AK14" s="311">
        <v>2190.11</v>
      </c>
      <c r="AL14" s="311">
        <v>1580</v>
      </c>
      <c r="AM14" s="331"/>
      <c r="AN14" s="331"/>
      <c r="AO14" s="332"/>
      <c r="AP14" s="332">
        <v>804</v>
      </c>
      <c r="AQ14" s="335">
        <v>-335.47</v>
      </c>
      <c r="AR14" s="335">
        <v>4025</v>
      </c>
      <c r="AS14" s="329"/>
      <c r="AT14" s="329">
        <v>588</v>
      </c>
      <c r="AU14" s="311">
        <v>9096.3700000000008</v>
      </c>
      <c r="AV14" s="311">
        <v>4906</v>
      </c>
      <c r="AW14" s="320"/>
      <c r="AX14" s="311"/>
    </row>
    <row r="15" spans="1:50" ht="17.25">
      <c r="A15" s="260" t="s">
        <v>240</v>
      </c>
      <c r="B15" s="317"/>
      <c r="C15" s="309"/>
      <c r="D15" s="562"/>
      <c r="E15" s="311"/>
      <c r="F15" s="311"/>
      <c r="G15" s="320"/>
      <c r="H15" s="311"/>
      <c r="I15" s="311"/>
      <c r="J15" s="311"/>
      <c r="K15" s="311"/>
      <c r="L15" s="311"/>
      <c r="M15" s="323"/>
      <c r="N15" s="323"/>
      <c r="O15" s="311"/>
      <c r="P15" s="311"/>
      <c r="Q15" s="326"/>
      <c r="R15" s="326"/>
      <c r="S15" s="311"/>
      <c r="T15" s="311"/>
      <c r="U15" s="311"/>
      <c r="V15" s="311"/>
      <c r="W15" s="311"/>
      <c r="X15" s="311"/>
      <c r="Y15" s="311"/>
      <c r="Z15" s="311"/>
      <c r="AA15" s="328"/>
      <c r="AB15" s="328"/>
      <c r="AC15" s="311"/>
      <c r="AD15" s="311"/>
      <c r="AE15" s="330"/>
      <c r="AF15" s="330"/>
      <c r="AG15" s="311"/>
      <c r="AH15" s="311"/>
      <c r="AI15" s="311"/>
      <c r="AJ15" s="311"/>
      <c r="AK15" s="311"/>
      <c r="AL15" s="311">
        <v>718</v>
      </c>
      <c r="AM15" s="331"/>
      <c r="AN15" s="331"/>
      <c r="AO15" s="332"/>
      <c r="AP15" s="332"/>
      <c r="AQ15" s="335">
        <v>6326.63</v>
      </c>
      <c r="AR15" s="335">
        <v>95</v>
      </c>
      <c r="AS15" s="329">
        <v>32232.63</v>
      </c>
      <c r="AT15" s="329">
        <v>1404</v>
      </c>
      <c r="AU15" s="311"/>
      <c r="AV15" s="311"/>
      <c r="AW15" s="320"/>
      <c r="AX15" s="311"/>
    </row>
    <row r="16" spans="1:50">
      <c r="A16" s="312" t="s">
        <v>185</v>
      </c>
      <c r="B16" s="317"/>
      <c r="C16" s="308"/>
      <c r="D16" s="561"/>
      <c r="E16" s="310"/>
      <c r="F16" s="310"/>
      <c r="G16" s="319"/>
      <c r="H16" s="310"/>
      <c r="I16" s="310"/>
      <c r="J16" s="310"/>
      <c r="K16" s="310"/>
      <c r="L16" s="310"/>
      <c r="M16" s="322"/>
      <c r="N16" s="322"/>
      <c r="O16" s="310"/>
      <c r="P16" s="310"/>
      <c r="Q16" s="325"/>
      <c r="R16" s="325"/>
      <c r="S16" s="310"/>
      <c r="T16" s="310"/>
      <c r="U16" s="310"/>
      <c r="V16" s="310">
        <v>157</v>
      </c>
      <c r="W16" s="310"/>
      <c r="X16" s="310"/>
      <c r="Y16" s="310"/>
      <c r="Z16" s="310"/>
      <c r="AA16" s="328"/>
      <c r="AB16" s="328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31"/>
      <c r="AN16" s="331"/>
      <c r="AO16" s="299"/>
      <c r="AP16" s="299"/>
      <c r="AQ16" s="335"/>
      <c r="AR16" s="335"/>
      <c r="AS16" s="329"/>
      <c r="AT16" s="329"/>
      <c r="AU16" s="310"/>
      <c r="AV16" s="310"/>
      <c r="AW16" s="319"/>
      <c r="AX16" s="310"/>
    </row>
    <row r="17" spans="1:50">
      <c r="A17" s="260" t="s">
        <v>186</v>
      </c>
      <c r="B17" s="317"/>
      <c r="C17" s="308">
        <v>12680.44</v>
      </c>
      <c r="D17" s="561">
        <v>14618</v>
      </c>
      <c r="E17" s="310">
        <v>4782</v>
      </c>
      <c r="F17" s="310">
        <v>4706</v>
      </c>
      <c r="G17" s="319">
        <f>71+4966</f>
        <v>5037</v>
      </c>
      <c r="H17" s="310">
        <f>65+282</f>
        <v>347</v>
      </c>
      <c r="I17" s="310">
        <v>29426.35</v>
      </c>
      <c r="J17" s="310"/>
      <c r="K17" s="310"/>
      <c r="L17" s="310"/>
      <c r="M17" s="322">
        <v>13823.35</v>
      </c>
      <c r="N17" s="322"/>
      <c r="O17" s="310">
        <v>-254</v>
      </c>
      <c r="P17" s="310">
        <v>1544</v>
      </c>
      <c r="Q17" s="325">
        <v>14509.79</v>
      </c>
      <c r="R17" s="325">
        <v>12335</v>
      </c>
      <c r="S17" s="310">
        <v>8139.92</v>
      </c>
      <c r="T17" s="310">
        <v>14870</v>
      </c>
      <c r="U17" s="310">
        <v>2912.28</v>
      </c>
      <c r="V17" s="310"/>
      <c r="W17" s="310">
        <v>739.96</v>
      </c>
      <c r="X17" s="310">
        <v>19504</v>
      </c>
      <c r="Y17" s="310">
        <v>70578.41</v>
      </c>
      <c r="Z17" s="310">
        <v>115822</v>
      </c>
      <c r="AA17" s="328"/>
      <c r="AB17" s="328"/>
      <c r="AC17" s="310">
        <v>8631.77</v>
      </c>
      <c r="AD17" s="310"/>
      <c r="AE17" s="310"/>
      <c r="AF17" s="310"/>
      <c r="AG17" s="310"/>
      <c r="AH17" s="310"/>
      <c r="AI17" s="310">
        <v>4989.88</v>
      </c>
      <c r="AJ17" s="310"/>
      <c r="AK17" s="310">
        <v>4138.9799999999996</v>
      </c>
      <c r="AL17" s="310"/>
      <c r="AM17" s="331"/>
      <c r="AN17" s="331"/>
      <c r="AO17" s="299"/>
      <c r="AP17" s="299"/>
      <c r="AQ17" s="335">
        <v>74.92</v>
      </c>
      <c r="AR17" s="335"/>
      <c r="AS17" s="329"/>
      <c r="AT17" s="329"/>
      <c r="AU17" s="310">
        <v>15906.47</v>
      </c>
      <c r="AV17" s="310"/>
      <c r="AW17" s="319"/>
      <c r="AX17" s="310"/>
    </row>
    <row r="18" spans="1:50">
      <c r="A18" s="260" t="s">
        <v>187</v>
      </c>
      <c r="B18" s="317"/>
      <c r="C18" s="308"/>
      <c r="D18" s="561"/>
      <c r="E18" s="310"/>
      <c r="F18" s="310"/>
      <c r="G18" s="319"/>
      <c r="H18" s="310"/>
      <c r="I18" s="310">
        <v>997.73</v>
      </c>
      <c r="J18" s="310">
        <v>580</v>
      </c>
      <c r="K18" s="310">
        <v>120.6</v>
      </c>
      <c r="L18" s="310">
        <v>157</v>
      </c>
      <c r="M18" s="322"/>
      <c r="N18" s="322">
        <v>10</v>
      </c>
      <c r="O18" s="310"/>
      <c r="P18" s="310"/>
      <c r="Q18" s="325">
        <v>5.5</v>
      </c>
      <c r="R18" s="325">
        <v>4</v>
      </c>
      <c r="S18" s="310"/>
      <c r="T18" s="310"/>
      <c r="U18" s="310"/>
      <c r="V18" s="310"/>
      <c r="W18" s="310">
        <v>1470.17</v>
      </c>
      <c r="X18" s="310">
        <v>1299</v>
      </c>
      <c r="Y18" s="310">
        <v>2461.65</v>
      </c>
      <c r="Z18" s="310">
        <v>1889</v>
      </c>
      <c r="AA18" s="328"/>
      <c r="AB18" s="328"/>
      <c r="AC18" s="310"/>
      <c r="AD18" s="310"/>
      <c r="AE18" s="310">
        <v>7417</v>
      </c>
      <c r="AF18" s="310">
        <v>231</v>
      </c>
      <c r="AG18" s="310"/>
      <c r="AH18" s="310"/>
      <c r="AI18" s="310"/>
      <c r="AJ18" s="310"/>
      <c r="AK18" s="310"/>
      <c r="AL18" s="310"/>
      <c r="AM18" s="331"/>
      <c r="AN18" s="331"/>
      <c r="AO18" s="332" t="s">
        <v>374</v>
      </c>
      <c r="AP18" s="332">
        <v>591</v>
      </c>
      <c r="AQ18" s="335"/>
      <c r="AR18" s="335"/>
      <c r="AS18" s="329"/>
      <c r="AT18" s="329"/>
      <c r="AU18" s="310"/>
      <c r="AV18" s="310"/>
      <c r="AW18" s="319"/>
      <c r="AX18" s="310"/>
    </row>
    <row r="19" spans="1:50">
      <c r="A19" s="260" t="s">
        <v>188</v>
      </c>
      <c r="B19" s="317"/>
      <c r="C19" s="308">
        <v>2425.77</v>
      </c>
      <c r="D19" s="561">
        <v>2526</v>
      </c>
      <c r="E19" s="310">
        <f>10.05</f>
        <v>10.050000000000001</v>
      </c>
      <c r="F19" s="310">
        <f>15</f>
        <v>15</v>
      </c>
      <c r="G19" s="319">
        <v>190</v>
      </c>
      <c r="H19" s="310">
        <v>157</v>
      </c>
      <c r="I19" s="310">
        <v>2016.98</v>
      </c>
      <c r="J19" s="310">
        <v>2547</v>
      </c>
      <c r="K19" s="310">
        <v>260.12</v>
      </c>
      <c r="L19" s="310">
        <v>34</v>
      </c>
      <c r="M19" s="322">
        <v>125.47</v>
      </c>
      <c r="N19" s="322">
        <v>123</v>
      </c>
      <c r="O19" s="310">
        <v>103</v>
      </c>
      <c r="P19" s="310">
        <f>272+37</f>
        <v>309</v>
      </c>
      <c r="Q19" s="325">
        <v>175.43</v>
      </c>
      <c r="R19" s="325">
        <v>104</v>
      </c>
      <c r="S19" s="310">
        <v>330.85</v>
      </c>
      <c r="T19" s="310">
        <v>176</v>
      </c>
      <c r="U19" s="310">
        <v>113.6</v>
      </c>
      <c r="V19" s="310">
        <v>5521</v>
      </c>
      <c r="W19" s="310">
        <v>6640.52</v>
      </c>
      <c r="X19" s="310">
        <v>5378</v>
      </c>
      <c r="Y19" s="310">
        <f>2218.21+38.96</f>
        <v>2257.17</v>
      </c>
      <c r="Z19" s="310">
        <f>3031+154</f>
        <v>3185</v>
      </c>
      <c r="AA19" s="328">
        <v>84</v>
      </c>
      <c r="AB19" s="328"/>
      <c r="AC19" s="310">
        <v>190.97</v>
      </c>
      <c r="AD19" s="310">
        <v>158.81</v>
      </c>
      <c r="AE19" s="310">
        <f>44412-6234</f>
        <v>38178</v>
      </c>
      <c r="AF19" s="310">
        <f>78+23</f>
        <v>101</v>
      </c>
      <c r="AG19" s="310">
        <v>2235.66</v>
      </c>
      <c r="AH19" s="310">
        <v>2368</v>
      </c>
      <c r="AI19" s="310">
        <f>325.84+555.34-0.43</f>
        <v>880.75000000000011</v>
      </c>
      <c r="AJ19" s="310"/>
      <c r="AK19" s="310">
        <v>329.73</v>
      </c>
      <c r="AL19" s="310">
        <v>7850</v>
      </c>
      <c r="AM19" s="331"/>
      <c r="AN19" s="331"/>
      <c r="AO19" s="332">
        <v>1037.42</v>
      </c>
      <c r="AP19" s="332">
        <v>1757</v>
      </c>
      <c r="AQ19" s="335">
        <f>225.55+60.13+465.02</f>
        <v>750.7</v>
      </c>
      <c r="AR19" s="335">
        <f>135+343+108</f>
        <v>586</v>
      </c>
      <c r="AS19" s="329">
        <v>127.13</v>
      </c>
      <c r="AT19" s="329">
        <v>152</v>
      </c>
      <c r="AU19" s="310">
        <f>1622.23+260.04+1882.04-14.04+4.74</f>
        <v>3755.0099999999998</v>
      </c>
      <c r="AV19" s="310"/>
      <c r="AW19" s="319"/>
      <c r="AX19" s="310"/>
    </row>
    <row r="20" spans="1:50" s="631" customFormat="1" ht="18">
      <c r="A20" s="619" t="s">
        <v>20</v>
      </c>
      <c r="B20" s="620"/>
      <c r="C20" s="621">
        <v>788486.68</v>
      </c>
      <c r="D20" s="622">
        <v>900217</v>
      </c>
      <c r="E20" s="623">
        <v>47239.3</v>
      </c>
      <c r="F20" s="623">
        <v>44662</v>
      </c>
      <c r="G20" s="624">
        <v>117947</v>
      </c>
      <c r="H20" s="623">
        <v>133672</v>
      </c>
      <c r="I20" s="623">
        <v>1018147.72</v>
      </c>
      <c r="J20" s="623">
        <v>1220544</v>
      </c>
      <c r="K20" s="623">
        <v>138362.16</v>
      </c>
      <c r="L20" s="623">
        <v>161665</v>
      </c>
      <c r="M20" s="625">
        <v>406184.5</v>
      </c>
      <c r="N20" s="625">
        <v>259412</v>
      </c>
      <c r="O20" s="623">
        <v>34330</v>
      </c>
      <c r="P20" s="623">
        <v>71006</v>
      </c>
      <c r="Q20" s="626">
        <v>86980.9</v>
      </c>
      <c r="R20" s="626">
        <v>102692</v>
      </c>
      <c r="S20" s="623">
        <v>212932.64</v>
      </c>
      <c r="T20" s="623">
        <v>252787</v>
      </c>
      <c r="U20" s="623">
        <v>67290.179999999993</v>
      </c>
      <c r="V20" s="623">
        <v>45974</v>
      </c>
      <c r="W20" s="623">
        <v>3092369.5</v>
      </c>
      <c r="X20" s="623">
        <v>3508119</v>
      </c>
      <c r="Y20" s="623">
        <v>3589278.2</v>
      </c>
      <c r="Z20" s="623">
        <v>3985344</v>
      </c>
      <c r="AA20" s="644">
        <v>142543.89000000001</v>
      </c>
      <c r="AB20" s="644">
        <v>105331</v>
      </c>
      <c r="AC20" s="623">
        <v>277412.28999999998</v>
      </c>
      <c r="AD20" s="623">
        <v>206690.74</v>
      </c>
      <c r="AE20" s="623">
        <v>658579.91</v>
      </c>
      <c r="AF20" s="623">
        <v>792802</v>
      </c>
      <c r="AG20" s="623">
        <v>1238720.72</v>
      </c>
      <c r="AH20" s="623">
        <v>1508332</v>
      </c>
      <c r="AI20" s="623">
        <v>380768.28</v>
      </c>
      <c r="AJ20" s="623">
        <v>492199</v>
      </c>
      <c r="AK20" s="623">
        <v>332466.15999999997</v>
      </c>
      <c r="AL20" s="623">
        <v>379056</v>
      </c>
      <c r="AM20" s="628"/>
      <c r="AN20" s="628"/>
      <c r="AO20" s="629">
        <v>3463630.48</v>
      </c>
      <c r="AP20" s="629">
        <v>4114101</v>
      </c>
      <c r="AQ20" s="630">
        <v>92230.05</v>
      </c>
      <c r="AR20" s="630">
        <v>112187</v>
      </c>
      <c r="AS20" s="627">
        <v>173923.8</v>
      </c>
      <c r="AT20" s="627">
        <v>240242</v>
      </c>
      <c r="AU20" s="623">
        <v>803461.81</v>
      </c>
      <c r="AV20" s="623">
        <v>574078</v>
      </c>
      <c r="AW20" s="645"/>
      <c r="AX20" s="646"/>
    </row>
    <row r="21" spans="1:50">
      <c r="A21" s="260" t="s">
        <v>59</v>
      </c>
      <c r="B21" s="312" t="s">
        <v>189</v>
      </c>
      <c r="C21" s="308">
        <v>20941.77</v>
      </c>
      <c r="D21" s="561">
        <v>24326</v>
      </c>
      <c r="E21" s="310">
        <v>249.97</v>
      </c>
      <c r="F21" s="310">
        <v>189</v>
      </c>
      <c r="G21" s="319">
        <v>1003</v>
      </c>
      <c r="H21" s="310">
        <v>1324</v>
      </c>
      <c r="I21" s="310">
        <v>20686.41</v>
      </c>
      <c r="J21" s="310">
        <v>28837</v>
      </c>
      <c r="K21" s="310">
        <v>7529.69</v>
      </c>
      <c r="L21" s="310">
        <v>7008</v>
      </c>
      <c r="M21" s="322">
        <v>9748</v>
      </c>
      <c r="N21" s="322">
        <v>8745</v>
      </c>
      <c r="O21" s="310">
        <v>741</v>
      </c>
      <c r="P21" s="310">
        <v>1427</v>
      </c>
      <c r="Q21" s="325">
        <v>3770.81</v>
      </c>
      <c r="R21" s="325">
        <v>4069</v>
      </c>
      <c r="S21" s="310">
        <v>8654.51</v>
      </c>
      <c r="T21" s="310">
        <v>7564</v>
      </c>
      <c r="U21" s="310">
        <v>1363.21</v>
      </c>
      <c r="V21" s="310">
        <v>837</v>
      </c>
      <c r="W21" s="310">
        <v>66467.259999999995</v>
      </c>
      <c r="X21" s="310">
        <v>81215</v>
      </c>
      <c r="Y21" s="310">
        <v>55657.99</v>
      </c>
      <c r="Z21" s="310">
        <v>69563</v>
      </c>
      <c r="AA21" s="328">
        <v>2284.7199999999998</v>
      </c>
      <c r="AB21" s="328">
        <v>2266</v>
      </c>
      <c r="AC21" s="310">
        <v>5799.43</v>
      </c>
      <c r="AD21" s="310">
        <v>6659.84</v>
      </c>
      <c r="AE21" s="310">
        <v>16367.33</v>
      </c>
      <c r="AF21" s="310">
        <v>18149</v>
      </c>
      <c r="AG21" s="310">
        <v>45001.34</v>
      </c>
      <c r="AH21" s="310">
        <v>53875</v>
      </c>
      <c r="AI21" s="310">
        <v>11208.9</v>
      </c>
      <c r="AJ21" s="310">
        <v>15647</v>
      </c>
      <c r="AK21" s="310">
        <v>6194.12</v>
      </c>
      <c r="AL21" s="310">
        <v>6294</v>
      </c>
      <c r="AM21" s="331"/>
      <c r="AN21" s="331"/>
      <c r="AO21" s="332">
        <v>65671.39</v>
      </c>
      <c r="AP21" s="332">
        <v>82028</v>
      </c>
      <c r="AQ21" s="335" t="s">
        <v>375</v>
      </c>
      <c r="AR21" s="335">
        <v>5539</v>
      </c>
      <c r="AS21" s="329">
        <v>7505.32</v>
      </c>
      <c r="AT21" s="329">
        <v>10097</v>
      </c>
      <c r="AU21" s="310">
        <v>41059.370000000003</v>
      </c>
      <c r="AV21" s="310">
        <v>30516</v>
      </c>
      <c r="AW21" s="569"/>
      <c r="AX21" s="329"/>
    </row>
    <row r="22" spans="1:50">
      <c r="A22" s="260" t="s">
        <v>190</v>
      </c>
      <c r="B22" s="312" t="s">
        <v>191</v>
      </c>
      <c r="C22" s="308">
        <v>56497.1</v>
      </c>
      <c r="D22" s="561">
        <v>66056</v>
      </c>
      <c r="E22" s="310">
        <v>10321.16</v>
      </c>
      <c r="F22" s="310">
        <v>8612</v>
      </c>
      <c r="G22" s="319">
        <v>13941</v>
      </c>
      <c r="H22" s="310">
        <v>13585</v>
      </c>
      <c r="I22" s="310">
        <v>76930.429999999993</v>
      </c>
      <c r="J22" s="310">
        <v>115842</v>
      </c>
      <c r="K22" s="310">
        <v>28759.51</v>
      </c>
      <c r="L22" s="310">
        <v>40305</v>
      </c>
      <c r="M22" s="322">
        <v>27331.15</v>
      </c>
      <c r="N22" s="322">
        <v>16431</v>
      </c>
      <c r="O22" s="310">
        <v>5591</v>
      </c>
      <c r="P22" s="310">
        <v>12727</v>
      </c>
      <c r="Q22" s="325">
        <v>25841.82</v>
      </c>
      <c r="R22" s="325">
        <v>23988</v>
      </c>
      <c r="S22" s="310">
        <v>29346.97</v>
      </c>
      <c r="T22" s="310">
        <v>32205</v>
      </c>
      <c r="U22" s="310">
        <v>24071</v>
      </c>
      <c r="V22" s="310">
        <v>12625</v>
      </c>
      <c r="W22" s="310">
        <v>176857.02</v>
      </c>
      <c r="X22" s="310">
        <v>230112</v>
      </c>
      <c r="Y22" s="310">
        <v>113388.54</v>
      </c>
      <c r="Z22" s="310">
        <v>153649</v>
      </c>
      <c r="AA22" s="328">
        <v>9964.7999999999993</v>
      </c>
      <c r="AB22" s="328">
        <v>5555</v>
      </c>
      <c r="AC22" s="310">
        <v>23442.92</v>
      </c>
      <c r="AD22" s="310">
        <v>16022.99</v>
      </c>
      <c r="AE22" s="310">
        <v>64493.29</v>
      </c>
      <c r="AF22" s="310">
        <v>74055</v>
      </c>
      <c r="AG22" s="310">
        <v>112324.45</v>
      </c>
      <c r="AH22" s="310">
        <v>136991</v>
      </c>
      <c r="AI22" s="310">
        <v>44682.27</v>
      </c>
      <c r="AJ22" s="310">
        <v>50899</v>
      </c>
      <c r="AK22" s="310">
        <v>50718.04</v>
      </c>
      <c r="AL22" s="310">
        <v>51078</v>
      </c>
      <c r="AM22" s="331"/>
      <c r="AN22" s="331"/>
      <c r="AO22" s="332">
        <v>112580.07</v>
      </c>
      <c r="AP22" s="332">
        <v>133259</v>
      </c>
      <c r="AQ22" s="335">
        <v>21915.54</v>
      </c>
      <c r="AR22" s="335">
        <v>24276</v>
      </c>
      <c r="AS22" s="329">
        <v>17686.63</v>
      </c>
      <c r="AT22" s="329">
        <v>21629</v>
      </c>
      <c r="AU22" s="310">
        <v>77044.22</v>
      </c>
      <c r="AV22" s="310">
        <v>62073</v>
      </c>
      <c r="AW22" s="569"/>
      <c r="AX22" s="329"/>
    </row>
    <row r="23" spans="1:50">
      <c r="A23" s="260" t="s">
        <v>235</v>
      </c>
      <c r="B23" s="312"/>
      <c r="C23" s="308"/>
      <c r="D23" s="561"/>
      <c r="E23" s="310"/>
      <c r="F23" s="310"/>
      <c r="G23" s="319"/>
      <c r="H23" s="310"/>
      <c r="I23" s="310"/>
      <c r="J23" s="310"/>
      <c r="K23" s="310"/>
      <c r="L23" s="310"/>
      <c r="M23" s="322"/>
      <c r="N23" s="322"/>
      <c r="O23" s="310"/>
      <c r="P23" s="310"/>
      <c r="Q23" s="325"/>
      <c r="R23" s="325"/>
      <c r="S23" s="310"/>
      <c r="T23" s="310"/>
      <c r="U23" s="310"/>
      <c r="V23" s="310"/>
      <c r="W23" s="310"/>
      <c r="X23" s="310"/>
      <c r="Y23" s="310"/>
      <c r="Z23" s="310"/>
      <c r="AA23" s="328"/>
      <c r="AB23" s="328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31"/>
      <c r="AN23" s="331"/>
      <c r="AO23" s="332"/>
      <c r="AP23" s="332"/>
      <c r="AQ23" s="335"/>
      <c r="AR23" s="335"/>
      <c r="AS23" s="329"/>
      <c r="AT23" s="329"/>
      <c r="AU23" s="310"/>
      <c r="AV23" s="310"/>
      <c r="AW23" s="569"/>
      <c r="AX23" s="329"/>
    </row>
    <row r="24" spans="1:50">
      <c r="A24" s="260" t="s">
        <v>192</v>
      </c>
      <c r="B24" s="317"/>
      <c r="C24" s="308">
        <v>-0.23</v>
      </c>
      <c r="D24" s="561">
        <v>-2</v>
      </c>
      <c r="E24" s="310">
        <v>4.08</v>
      </c>
      <c r="F24" s="310">
        <v>-6</v>
      </c>
      <c r="G24" s="319">
        <v>54</v>
      </c>
      <c r="H24" s="310">
        <v>52</v>
      </c>
      <c r="I24" s="310">
        <v>24.76</v>
      </c>
      <c r="J24" s="310">
        <v>34</v>
      </c>
      <c r="K24" s="310">
        <v>29.64</v>
      </c>
      <c r="L24" s="310">
        <v>286</v>
      </c>
      <c r="M24" s="322">
        <v>-0.46</v>
      </c>
      <c r="N24" s="322"/>
      <c r="O24" s="310"/>
      <c r="P24" s="310"/>
      <c r="Q24" s="325">
        <v>29.24</v>
      </c>
      <c r="R24" s="325">
        <v>41</v>
      </c>
      <c r="S24" s="310"/>
      <c r="T24" s="310"/>
      <c r="U24" s="310">
        <v>19.760000000000002</v>
      </c>
      <c r="V24" s="310">
        <v>21</v>
      </c>
      <c r="W24" s="310"/>
      <c r="X24" s="310"/>
      <c r="Y24" s="310">
        <v>27.21</v>
      </c>
      <c r="Z24" s="310">
        <v>-14</v>
      </c>
      <c r="AA24" s="328">
        <v>416</v>
      </c>
      <c r="AB24" s="328"/>
      <c r="AC24" s="310"/>
      <c r="AD24" s="310"/>
      <c r="AE24" s="310"/>
      <c r="AF24" s="310"/>
      <c r="AG24" s="310">
        <v>100.48</v>
      </c>
      <c r="AH24" s="310">
        <v>78</v>
      </c>
      <c r="AI24" s="310"/>
      <c r="AJ24" s="310"/>
      <c r="AK24" s="310"/>
      <c r="AL24" s="310"/>
      <c r="AM24" s="331"/>
      <c r="AN24" s="331"/>
      <c r="AO24" s="332">
        <v>2.99</v>
      </c>
      <c r="AP24" s="332">
        <v>51</v>
      </c>
      <c r="AQ24" s="335"/>
      <c r="AR24" s="335"/>
      <c r="AS24" s="329">
        <v>-1.64</v>
      </c>
      <c r="AT24" s="329">
        <v>21</v>
      </c>
      <c r="AU24" s="310"/>
      <c r="AV24" s="310"/>
      <c r="AW24" s="569"/>
      <c r="AX24" s="329"/>
    </row>
    <row r="25" spans="1:50" ht="17.25">
      <c r="A25" s="260" t="s">
        <v>193</v>
      </c>
      <c r="B25" s="317"/>
      <c r="C25" s="309"/>
      <c r="D25" s="562"/>
      <c r="E25" s="311"/>
      <c r="F25" s="311"/>
      <c r="G25" s="320"/>
      <c r="H25" s="311"/>
      <c r="I25" s="311">
        <v>56.13</v>
      </c>
      <c r="J25" s="311">
        <v>62</v>
      </c>
      <c r="K25" s="311">
        <v>214.21</v>
      </c>
      <c r="L25" s="311"/>
      <c r="M25" s="323"/>
      <c r="N25" s="323">
        <v>6</v>
      </c>
      <c r="O25" s="311"/>
      <c r="P25" s="311"/>
      <c r="Q25" s="326"/>
      <c r="R25" s="326"/>
      <c r="S25" s="311"/>
      <c r="T25" s="311"/>
      <c r="U25" s="311"/>
      <c r="V25" s="311"/>
      <c r="W25" s="311"/>
      <c r="X25" s="311"/>
      <c r="Y25" s="311">
        <v>134.80000000000001</v>
      </c>
      <c r="Z25" s="311">
        <v>223</v>
      </c>
      <c r="AA25" s="328"/>
      <c r="AB25" s="328"/>
      <c r="AC25" s="311"/>
      <c r="AD25" s="311"/>
      <c r="AE25" s="330"/>
      <c r="AF25" s="330">
        <v>1282</v>
      </c>
      <c r="AG25" s="311"/>
      <c r="AH25" s="311"/>
      <c r="AI25" s="311"/>
      <c r="AJ25" s="311"/>
      <c r="AK25" s="311"/>
      <c r="AL25" s="311"/>
      <c r="AM25" s="331"/>
      <c r="AN25" s="331"/>
      <c r="AO25" s="334">
        <v>8.7899999999999991</v>
      </c>
      <c r="AP25" s="334">
        <v>2927</v>
      </c>
      <c r="AQ25" s="335"/>
      <c r="AR25" s="335"/>
      <c r="AS25" s="329">
        <v>14.91</v>
      </c>
      <c r="AT25" s="329">
        <v>6</v>
      </c>
      <c r="AU25" s="311"/>
      <c r="AV25" s="311"/>
      <c r="AW25" s="320"/>
      <c r="AX25" s="311"/>
    </row>
    <row r="26" spans="1:50">
      <c r="A26" s="260" t="s">
        <v>194</v>
      </c>
      <c r="B26" s="317"/>
      <c r="C26" s="308">
        <v>2106.33</v>
      </c>
      <c r="D26" s="561">
        <v>2217</v>
      </c>
      <c r="E26" s="310"/>
      <c r="F26" s="310"/>
      <c r="G26" s="319"/>
      <c r="H26" s="310"/>
      <c r="I26" s="310"/>
      <c r="J26" s="310"/>
      <c r="K26" s="310"/>
      <c r="L26" s="310"/>
      <c r="M26" s="322"/>
      <c r="N26" s="322"/>
      <c r="O26" s="310"/>
      <c r="P26" s="310"/>
      <c r="Q26" s="325"/>
      <c r="R26" s="325"/>
      <c r="S26" s="310"/>
      <c r="T26" s="310"/>
      <c r="U26" s="310"/>
      <c r="V26" s="310"/>
      <c r="W26" s="310">
        <v>4923.5</v>
      </c>
      <c r="X26" s="310">
        <v>1214</v>
      </c>
      <c r="Y26" s="310"/>
      <c r="Z26" s="310"/>
      <c r="AA26" s="328"/>
      <c r="AB26" s="328"/>
      <c r="AC26" s="310"/>
      <c r="AD26" s="310"/>
      <c r="AE26" s="310">
        <v>8802.33</v>
      </c>
      <c r="AF26" s="310">
        <v>5897</v>
      </c>
      <c r="AG26" s="310"/>
      <c r="AH26" s="310"/>
      <c r="AI26" s="310">
        <v>1856.02</v>
      </c>
      <c r="AJ26" s="310">
        <v>780</v>
      </c>
      <c r="AK26" s="310"/>
      <c r="AL26" s="310"/>
      <c r="AM26" s="331"/>
      <c r="AN26" s="331"/>
      <c r="AO26" s="299"/>
      <c r="AP26" s="299"/>
      <c r="AQ26" s="335">
        <v>21132.1</v>
      </c>
      <c r="AR26" s="335">
        <v>171</v>
      </c>
      <c r="AS26" s="329">
        <v>189.15</v>
      </c>
      <c r="AT26" s="329">
        <v>514</v>
      </c>
      <c r="AU26" s="310">
        <v>-2027.01</v>
      </c>
      <c r="AV26" s="310"/>
      <c r="AW26" s="569"/>
      <c r="AX26" s="329"/>
    </row>
    <row r="27" spans="1:50">
      <c r="A27" s="260" t="s">
        <v>195</v>
      </c>
      <c r="B27" s="317"/>
      <c r="C27" s="308"/>
      <c r="D27" s="561"/>
      <c r="E27" s="310"/>
      <c r="F27" s="310"/>
      <c r="G27" s="319"/>
      <c r="H27" s="310"/>
      <c r="I27" s="310"/>
      <c r="J27" s="310"/>
      <c r="K27" s="310"/>
      <c r="L27" s="310"/>
      <c r="M27" s="322"/>
      <c r="N27" s="322"/>
      <c r="O27" s="310"/>
      <c r="P27" s="310"/>
      <c r="Q27" s="325"/>
      <c r="R27" s="325"/>
      <c r="S27" s="310"/>
      <c r="T27" s="310"/>
      <c r="U27" s="310"/>
      <c r="V27" s="310"/>
      <c r="W27" s="310"/>
      <c r="X27" s="310"/>
      <c r="Y27" s="310"/>
      <c r="Z27" s="310"/>
      <c r="AA27" s="328"/>
      <c r="AB27" s="328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31"/>
      <c r="AN27" s="331"/>
      <c r="AO27" s="332">
        <v>15484.73</v>
      </c>
      <c r="AP27" s="332">
        <v>6671</v>
      </c>
      <c r="AQ27" s="335"/>
      <c r="AR27" s="335"/>
      <c r="AS27" s="329"/>
      <c r="AT27" s="329"/>
      <c r="AU27" s="310"/>
      <c r="AV27" s="310"/>
      <c r="AW27" s="569"/>
      <c r="AX27" s="329"/>
    </row>
    <row r="28" spans="1:50">
      <c r="A28" s="260" t="s">
        <v>196</v>
      </c>
      <c r="B28" s="317"/>
      <c r="C28" s="308"/>
      <c r="D28" s="561"/>
      <c r="E28" s="310"/>
      <c r="F28" s="310"/>
      <c r="G28" s="319"/>
      <c r="H28" s="310"/>
      <c r="I28" s="310"/>
      <c r="J28" s="310"/>
      <c r="K28" s="310"/>
      <c r="L28" s="310"/>
      <c r="M28" s="322"/>
      <c r="N28" s="322">
        <v>250</v>
      </c>
      <c r="O28" s="310"/>
      <c r="P28" s="310"/>
      <c r="Q28" s="325"/>
      <c r="R28" s="325"/>
      <c r="S28" s="310"/>
      <c r="T28" s="310"/>
      <c r="U28" s="310"/>
      <c r="V28" s="310"/>
      <c r="W28" s="310"/>
      <c r="X28" s="310"/>
      <c r="Y28" s="310"/>
      <c r="Z28" s="310"/>
      <c r="AA28" s="328"/>
      <c r="AB28" s="328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31"/>
      <c r="AN28" s="331"/>
      <c r="AO28" s="299"/>
      <c r="AP28" s="299"/>
      <c r="AQ28" s="335"/>
      <c r="AR28" s="335"/>
      <c r="AS28" s="329"/>
      <c r="AT28" s="329"/>
      <c r="AU28" s="310"/>
      <c r="AV28" s="310"/>
      <c r="AW28" s="569"/>
      <c r="AX28" s="329"/>
    </row>
    <row r="29" spans="1:50">
      <c r="A29" s="260" t="s">
        <v>197</v>
      </c>
      <c r="B29" s="317"/>
      <c r="C29" s="308">
        <v>478.76</v>
      </c>
      <c r="D29" s="561">
        <v>-1</v>
      </c>
      <c r="E29" s="310"/>
      <c r="F29" s="310">
        <v>125</v>
      </c>
      <c r="G29" s="319">
        <v>92</v>
      </c>
      <c r="H29" s="310">
        <v>905</v>
      </c>
      <c r="I29" s="310">
        <v>-6931.14</v>
      </c>
      <c r="J29" s="310">
        <v>-15540</v>
      </c>
      <c r="K29" s="310"/>
      <c r="L29" s="310"/>
      <c r="M29" s="322"/>
      <c r="N29" s="322"/>
      <c r="O29" s="310">
        <v>805</v>
      </c>
      <c r="P29" s="310">
        <v>-918</v>
      </c>
      <c r="Q29" s="325"/>
      <c r="R29" s="325">
        <v>-601</v>
      </c>
      <c r="S29" s="310">
        <v>250</v>
      </c>
      <c r="T29" s="310"/>
      <c r="U29" s="310">
        <v>470</v>
      </c>
      <c r="V29" s="310">
        <v>-500</v>
      </c>
      <c r="W29" s="310"/>
      <c r="X29" s="310">
        <v>-24427</v>
      </c>
      <c r="Y29" s="310">
        <v>2012.34</v>
      </c>
      <c r="Z29" s="310"/>
      <c r="AA29" s="328">
        <v>260.12</v>
      </c>
      <c r="AB29" s="328">
        <v>-170</v>
      </c>
      <c r="AC29" s="310"/>
      <c r="AD29" s="310"/>
      <c r="AE29" s="310">
        <v>2200.0300000000002</v>
      </c>
      <c r="AF29" s="310">
        <v>-2502</v>
      </c>
      <c r="AG29" s="310">
        <v>2184.77</v>
      </c>
      <c r="AH29" s="310">
        <v>5131</v>
      </c>
      <c r="AI29" s="310"/>
      <c r="AJ29" s="310"/>
      <c r="AK29" s="310"/>
      <c r="AL29" s="310"/>
      <c r="AM29" s="331"/>
      <c r="AN29" s="331"/>
      <c r="AO29" s="332">
        <v>-10579.93</v>
      </c>
      <c r="AP29" s="332">
        <v>-89</v>
      </c>
      <c r="AQ29" s="335"/>
      <c r="AR29" s="335"/>
      <c r="AS29" s="329">
        <v>1990</v>
      </c>
      <c r="AT29" s="329">
        <v>-1933</v>
      </c>
      <c r="AU29" s="310">
        <v>60.28</v>
      </c>
      <c r="AV29" s="310"/>
      <c r="AW29" s="569"/>
      <c r="AX29" s="329"/>
    </row>
    <row r="30" spans="1:50" ht="17.25">
      <c r="A30" s="260" t="s">
        <v>198</v>
      </c>
      <c r="B30" s="317"/>
      <c r="C30" s="309">
        <v>-81</v>
      </c>
      <c r="D30" s="562">
        <v>-1</v>
      </c>
      <c r="E30" s="311"/>
      <c r="F30" s="311"/>
      <c r="G30" s="320"/>
      <c r="H30" s="311"/>
      <c r="I30" s="311"/>
      <c r="J30" s="311"/>
      <c r="K30" s="311"/>
      <c r="L30" s="311"/>
      <c r="M30" s="323"/>
      <c r="N30" s="323"/>
      <c r="O30" s="311"/>
      <c r="P30" s="311"/>
      <c r="Q30" s="326"/>
      <c r="R30" s="326"/>
      <c r="S30" s="311"/>
      <c r="T30" s="311"/>
      <c r="U30" s="311"/>
      <c r="V30" s="311"/>
      <c r="W30" s="311"/>
      <c r="X30" s="311">
        <v>65</v>
      </c>
      <c r="Y30" s="311"/>
      <c r="Z30" s="311"/>
      <c r="AA30" s="328"/>
      <c r="AB30" s="328"/>
      <c r="AC30" s="311"/>
      <c r="AD30" s="311"/>
      <c r="AE30" s="330">
        <v>-0.49</v>
      </c>
      <c r="AF30" s="330"/>
      <c r="AG30" s="311"/>
      <c r="AH30" s="311"/>
      <c r="AI30" s="311"/>
      <c r="AJ30" s="311"/>
      <c r="AK30" s="311"/>
      <c r="AL30" s="311"/>
      <c r="AM30" s="331"/>
      <c r="AN30" s="331"/>
      <c r="AO30" s="334">
        <v>-23.33</v>
      </c>
      <c r="AP30" s="334">
        <v>-5275</v>
      </c>
      <c r="AQ30" s="335"/>
      <c r="AR30" s="335"/>
      <c r="AS30" s="329"/>
      <c r="AT30" s="329"/>
      <c r="AU30" s="311"/>
      <c r="AV30" s="311"/>
      <c r="AW30" s="320"/>
      <c r="AX30" s="311"/>
    </row>
    <row r="31" spans="1:50" ht="17.25">
      <c r="A31" s="260" t="s">
        <v>248</v>
      </c>
      <c r="B31" s="317"/>
      <c r="C31" s="309"/>
      <c r="D31" s="562"/>
      <c r="E31" s="311"/>
      <c r="F31" s="311"/>
      <c r="G31" s="320"/>
      <c r="H31" s="311"/>
      <c r="I31" s="311">
        <v>27.21</v>
      </c>
      <c r="J31" s="311"/>
      <c r="K31" s="311"/>
      <c r="L31" s="311"/>
      <c r="M31" s="323"/>
      <c r="N31" s="323"/>
      <c r="O31" s="311"/>
      <c r="P31" s="311"/>
      <c r="Q31" s="326"/>
      <c r="R31" s="326"/>
      <c r="S31" s="311"/>
      <c r="T31" s="311"/>
      <c r="U31" s="311"/>
      <c r="V31" s="311"/>
      <c r="W31" s="311"/>
      <c r="X31" s="311"/>
      <c r="Y31" s="311"/>
      <c r="Z31" s="311"/>
      <c r="AA31" s="328"/>
      <c r="AB31" s="328"/>
      <c r="AC31" s="311"/>
      <c r="AD31" s="311"/>
      <c r="AE31" s="330"/>
      <c r="AF31" s="330"/>
      <c r="AG31" s="311"/>
      <c r="AH31" s="311"/>
      <c r="AI31" s="311">
        <v>168.55</v>
      </c>
      <c r="AJ31" s="311">
        <v>241</v>
      </c>
      <c r="AK31" s="311"/>
      <c r="AL31" s="311"/>
      <c r="AM31" s="331"/>
      <c r="AN31" s="331"/>
      <c r="AO31" s="334"/>
      <c r="AP31" s="334"/>
      <c r="AQ31" s="335">
        <f>145.61-138.19</f>
        <v>7.4200000000000159</v>
      </c>
      <c r="AR31" s="335"/>
      <c r="AS31" s="329"/>
      <c r="AT31" s="329"/>
      <c r="AU31" s="311"/>
      <c r="AV31" s="311"/>
      <c r="AW31" s="320"/>
      <c r="AX31" s="311"/>
    </row>
    <row r="32" spans="1:50">
      <c r="A32" s="260" t="s">
        <v>199</v>
      </c>
      <c r="B32" s="317"/>
      <c r="C32" s="308">
        <v>5431.51</v>
      </c>
      <c r="D32" s="561">
        <v>5834</v>
      </c>
      <c r="E32" s="310">
        <v>168.65</v>
      </c>
      <c r="F32" s="310">
        <v>162</v>
      </c>
      <c r="G32" s="319">
        <v>661</v>
      </c>
      <c r="H32" s="310">
        <v>696</v>
      </c>
      <c r="I32" s="310">
        <v>5659.49</v>
      </c>
      <c r="J32" s="310"/>
      <c r="K32" s="310">
        <v>246.29</v>
      </c>
      <c r="L32" s="310">
        <v>332</v>
      </c>
      <c r="M32" s="322">
        <v>2664.4</v>
      </c>
      <c r="N32" s="322">
        <v>1566</v>
      </c>
      <c r="O32" s="310">
        <v>40</v>
      </c>
      <c r="P32" s="310">
        <v>74</v>
      </c>
      <c r="Q32" s="325">
        <v>311.94</v>
      </c>
      <c r="R32" s="325">
        <v>373</v>
      </c>
      <c r="S32" s="310">
        <v>234.49</v>
      </c>
      <c r="T32" s="310">
        <v>207</v>
      </c>
      <c r="U32" s="310">
        <v>192.45</v>
      </c>
      <c r="V32" s="310">
        <v>78</v>
      </c>
      <c r="W32" s="310">
        <v>17103.55</v>
      </c>
      <c r="X32" s="310">
        <v>17925</v>
      </c>
      <c r="Y32" s="310">
        <v>30589.89</v>
      </c>
      <c r="Z32" s="310">
        <v>33384</v>
      </c>
      <c r="AA32" s="329">
        <v>796.22</v>
      </c>
      <c r="AB32" s="329">
        <v>474</v>
      </c>
      <c r="AC32" s="310">
        <v>1417.35</v>
      </c>
      <c r="AD32" s="310">
        <v>878.94</v>
      </c>
      <c r="AE32" s="310">
        <v>3125.14</v>
      </c>
      <c r="AF32" s="310">
        <v>3828</v>
      </c>
      <c r="AG32" s="310">
        <v>7423.94</v>
      </c>
      <c r="AH32" s="310">
        <v>8596</v>
      </c>
      <c r="AI32" s="310">
        <v>2128.9699999999998</v>
      </c>
      <c r="AJ32" s="310">
        <v>2185</v>
      </c>
      <c r="AK32" s="310">
        <v>1489.89</v>
      </c>
      <c r="AL32" s="310"/>
      <c r="AM32" s="331"/>
      <c r="AN32" s="331"/>
      <c r="AO32" s="332">
        <v>28161.23</v>
      </c>
      <c r="AP32" s="332">
        <v>32779</v>
      </c>
      <c r="AQ32" s="335">
        <v>127.37</v>
      </c>
      <c r="AR32" s="335">
        <v>118</v>
      </c>
      <c r="AS32" s="329">
        <v>437.74</v>
      </c>
      <c r="AT32" s="329"/>
      <c r="AU32" s="310">
        <v>2920.53</v>
      </c>
      <c r="AV32" s="310"/>
      <c r="AW32" s="319"/>
      <c r="AX32" s="310"/>
    </row>
    <row r="33" spans="1:50" s="631" customFormat="1" ht="18">
      <c r="A33" s="619" t="s">
        <v>200</v>
      </c>
      <c r="B33" s="620"/>
      <c r="C33" s="621">
        <v>85454.43</v>
      </c>
      <c r="D33" s="622">
        <v>98429</v>
      </c>
      <c r="E33" s="623">
        <v>10743.86</v>
      </c>
      <c r="F33" s="623">
        <v>9083</v>
      </c>
      <c r="G33" s="624">
        <v>15751</v>
      </c>
      <c r="H33" s="623">
        <v>16562</v>
      </c>
      <c r="I33" s="623">
        <v>96453.29</v>
      </c>
      <c r="J33" s="623">
        <v>136061</v>
      </c>
      <c r="K33" s="623">
        <v>36779.339999999997</v>
      </c>
      <c r="L33" s="623">
        <v>47931</v>
      </c>
      <c r="M33" s="625">
        <v>39743.089999999997</v>
      </c>
      <c r="N33" s="625">
        <v>26998</v>
      </c>
      <c r="O33" s="623">
        <v>7177</v>
      </c>
      <c r="P33" s="623">
        <v>13310</v>
      </c>
      <c r="Q33" s="626">
        <v>29953.81</v>
      </c>
      <c r="R33" s="626">
        <v>27870</v>
      </c>
      <c r="S33" s="623">
        <v>38485.97</v>
      </c>
      <c r="T33" s="623">
        <v>39976</v>
      </c>
      <c r="U33" s="623">
        <v>26116.42</v>
      </c>
      <c r="V33" s="623">
        <v>13061</v>
      </c>
      <c r="W33" s="623">
        <v>259960.08</v>
      </c>
      <c r="X33" s="623">
        <v>306104</v>
      </c>
      <c r="Y33" s="623">
        <v>201810.77</v>
      </c>
      <c r="Z33" s="623">
        <v>256805</v>
      </c>
      <c r="AA33" s="627">
        <v>13330.02</v>
      </c>
      <c r="AB33" s="627">
        <v>9125</v>
      </c>
      <c r="AC33" s="623">
        <v>30659.71</v>
      </c>
      <c r="AD33" s="623">
        <v>23561.77</v>
      </c>
      <c r="AE33" s="623">
        <v>94987.63</v>
      </c>
      <c r="AF33" s="623">
        <v>97887</v>
      </c>
      <c r="AG33" s="623">
        <v>167034.98000000001</v>
      </c>
      <c r="AH33" s="623">
        <v>204671</v>
      </c>
      <c r="AI33" s="623">
        <v>60044.71</v>
      </c>
      <c r="AJ33" s="623">
        <v>69752</v>
      </c>
      <c r="AK33" s="623">
        <v>58402.05</v>
      </c>
      <c r="AL33" s="623">
        <v>57080</v>
      </c>
      <c r="AM33" s="628"/>
      <c r="AN33" s="628"/>
      <c r="AO33" s="629">
        <v>211305.95</v>
      </c>
      <c r="AP33" s="629">
        <v>252352</v>
      </c>
      <c r="AQ33" s="630">
        <v>28470.26</v>
      </c>
      <c r="AR33" s="630">
        <v>30106</v>
      </c>
      <c r="AS33" s="627">
        <v>27822.11</v>
      </c>
      <c r="AT33" s="627">
        <v>30821</v>
      </c>
      <c r="AU33" s="623">
        <v>119057.39</v>
      </c>
      <c r="AV33" s="623">
        <v>94707</v>
      </c>
      <c r="AW33" s="624"/>
      <c r="AX33" s="623"/>
    </row>
    <row r="34" spans="1:50">
      <c r="A34" s="260" t="s">
        <v>201</v>
      </c>
      <c r="B34" s="312" t="s">
        <v>202</v>
      </c>
      <c r="C34" s="308">
        <v>170032.69</v>
      </c>
      <c r="D34" s="561">
        <v>330017</v>
      </c>
      <c r="E34" s="310">
        <v>9603</v>
      </c>
      <c r="F34" s="310">
        <v>20691</v>
      </c>
      <c r="G34" s="319">
        <v>40884</v>
      </c>
      <c r="H34" s="310">
        <v>56478</v>
      </c>
      <c r="I34" s="310">
        <v>202909.96</v>
      </c>
      <c r="J34" s="310">
        <v>394987</v>
      </c>
      <c r="K34" s="310">
        <v>19626.5</v>
      </c>
      <c r="L34" s="310">
        <v>40212</v>
      </c>
      <c r="M34" s="322">
        <v>75159.179999999993</v>
      </c>
      <c r="N34" s="322">
        <v>75486</v>
      </c>
      <c r="O34" s="310">
        <v>8428</v>
      </c>
      <c r="P34" s="310">
        <v>26471</v>
      </c>
      <c r="Q34" s="325">
        <v>5880.88</v>
      </c>
      <c r="R34" s="325">
        <v>14399</v>
      </c>
      <c r="S34" s="310">
        <v>66702.570000000007</v>
      </c>
      <c r="T34" s="310">
        <v>97432</v>
      </c>
      <c r="U34" s="310">
        <v>22803.8</v>
      </c>
      <c r="V34" s="310">
        <v>17339</v>
      </c>
      <c r="W34" s="310">
        <v>726701.57</v>
      </c>
      <c r="X34" s="310">
        <v>1389476</v>
      </c>
      <c r="Y34" s="310">
        <v>746194.59</v>
      </c>
      <c r="Z34" s="310">
        <v>1360710</v>
      </c>
      <c r="AA34" s="329">
        <v>36759.83</v>
      </c>
      <c r="AB34" s="329">
        <v>29439</v>
      </c>
      <c r="AC34" s="310">
        <v>236160.76</v>
      </c>
      <c r="AD34" s="310">
        <v>190482.12</v>
      </c>
      <c r="AE34" s="310">
        <v>157146.63</v>
      </c>
      <c r="AF34" s="310">
        <v>277781</v>
      </c>
      <c r="AG34" s="310">
        <v>263938.48</v>
      </c>
      <c r="AH34" s="310">
        <v>471672</v>
      </c>
      <c r="AI34" s="310">
        <v>105149.13</v>
      </c>
      <c r="AJ34" s="310">
        <v>148204</v>
      </c>
      <c r="AK34" s="310">
        <v>100880.23</v>
      </c>
      <c r="AL34" s="310">
        <v>154882</v>
      </c>
      <c r="AM34" s="331"/>
      <c r="AN34" s="331"/>
      <c r="AO34" s="332">
        <v>925243.78</v>
      </c>
      <c r="AP34" s="332">
        <v>1745088</v>
      </c>
      <c r="AQ34" s="335">
        <v>18056.919999999998</v>
      </c>
      <c r="AR34" s="335">
        <v>42061</v>
      </c>
      <c r="AS34" s="329">
        <v>51556.66</v>
      </c>
      <c r="AT34" s="329">
        <v>68454</v>
      </c>
      <c r="AU34" s="310">
        <v>103908.35</v>
      </c>
      <c r="AV34" s="310">
        <v>117169</v>
      </c>
      <c r="AW34" s="319"/>
      <c r="AX34" s="310"/>
    </row>
    <row r="35" spans="1:50">
      <c r="A35" s="260" t="s">
        <v>203</v>
      </c>
      <c r="B35" s="317"/>
      <c r="C35" s="308">
        <v>355.32</v>
      </c>
      <c r="D35" s="561">
        <v>675</v>
      </c>
      <c r="E35" s="310">
        <v>2.56</v>
      </c>
      <c r="F35" s="310">
        <v>10</v>
      </c>
      <c r="G35" s="319">
        <v>19</v>
      </c>
      <c r="H35" s="310">
        <v>82</v>
      </c>
      <c r="I35" s="310">
        <v>5612.27</v>
      </c>
      <c r="J35" s="310">
        <v>8554</v>
      </c>
      <c r="K35" s="310"/>
      <c r="L35" s="310">
        <v>897</v>
      </c>
      <c r="M35" s="322">
        <v>150.94</v>
      </c>
      <c r="N35" s="322">
        <v>250</v>
      </c>
      <c r="O35" s="310">
        <v>1</v>
      </c>
      <c r="P35" s="310">
        <v>2</v>
      </c>
      <c r="Q35" s="325">
        <v>1.45</v>
      </c>
      <c r="R35" s="325">
        <v>1</v>
      </c>
      <c r="S35" s="310">
        <v>39.65</v>
      </c>
      <c r="T35" s="310">
        <v>236</v>
      </c>
      <c r="U35" s="310">
        <v>71.55</v>
      </c>
      <c r="V35" s="310">
        <v>81</v>
      </c>
      <c r="W35" s="310">
        <v>28766.1</v>
      </c>
      <c r="X35" s="310">
        <v>24423</v>
      </c>
      <c r="Y35" s="310">
        <v>4387.9399999999996</v>
      </c>
      <c r="Z35" s="310">
        <v>8335</v>
      </c>
      <c r="AA35" s="329">
        <v>1.7</v>
      </c>
      <c r="AB35" s="329">
        <v>27</v>
      </c>
      <c r="AC35" s="310"/>
      <c r="AD35" s="310"/>
      <c r="AE35" s="310">
        <v>1598.9</v>
      </c>
      <c r="AF35" s="310">
        <v>2304</v>
      </c>
      <c r="AG35" s="310">
        <v>108.7</v>
      </c>
      <c r="AH35" s="310">
        <v>243</v>
      </c>
      <c r="AI35" s="310">
        <v>198.78</v>
      </c>
      <c r="AJ35" s="310">
        <v>250</v>
      </c>
      <c r="AK35" s="310">
        <v>10.27</v>
      </c>
      <c r="AL35" s="310">
        <v>25</v>
      </c>
      <c r="AM35" s="331"/>
      <c r="AN35" s="331"/>
      <c r="AO35" s="332">
        <v>2665.12</v>
      </c>
      <c r="AP35" s="332">
        <v>4296</v>
      </c>
      <c r="AQ35" s="335">
        <v>14.76</v>
      </c>
      <c r="AR35" s="335">
        <v>18</v>
      </c>
      <c r="AS35" s="329">
        <v>0.36</v>
      </c>
      <c r="AT35" s="329">
        <v>1</v>
      </c>
      <c r="AU35" s="310"/>
      <c r="AV35" s="310"/>
      <c r="AW35" s="319"/>
      <c r="AX35" s="310"/>
    </row>
    <row r="36" spans="1:50" ht="17.25">
      <c r="A36" s="260" t="s">
        <v>204</v>
      </c>
      <c r="B36" s="317"/>
      <c r="C36" s="309"/>
      <c r="D36" s="562"/>
      <c r="E36" s="311"/>
      <c r="F36" s="311"/>
      <c r="G36" s="320"/>
      <c r="H36" s="311"/>
      <c r="I36" s="311"/>
      <c r="J36" s="311"/>
      <c r="K36" s="311"/>
      <c r="L36" s="311"/>
      <c r="M36" s="323"/>
      <c r="N36" s="323"/>
      <c r="O36" s="311"/>
      <c r="P36" s="311"/>
      <c r="Q36" s="326"/>
      <c r="R36" s="326"/>
      <c r="S36" s="311"/>
      <c r="T36" s="311"/>
      <c r="U36" s="311"/>
      <c r="V36" s="311"/>
      <c r="W36" s="311"/>
      <c r="X36" s="311"/>
      <c r="Y36" s="311"/>
      <c r="Z36" s="311"/>
      <c r="AA36" s="328"/>
      <c r="AB36" s="328"/>
      <c r="AC36" s="311"/>
      <c r="AD36" s="311"/>
      <c r="AE36" s="330"/>
      <c r="AF36" s="330"/>
      <c r="AG36" s="311"/>
      <c r="AH36" s="311"/>
      <c r="AI36" s="311"/>
      <c r="AJ36" s="311"/>
      <c r="AK36" s="311"/>
      <c r="AL36" s="311"/>
      <c r="AM36" s="331"/>
      <c r="AN36" s="331"/>
      <c r="AO36" s="299"/>
      <c r="AP36" s="299"/>
      <c r="AQ36" s="335"/>
      <c r="AR36" s="335"/>
      <c r="AS36" s="329"/>
      <c r="AT36" s="329"/>
      <c r="AU36" s="311"/>
      <c r="AV36" s="311"/>
      <c r="AW36" s="320"/>
      <c r="AX36" s="311"/>
    </row>
    <row r="37" spans="1:50">
      <c r="A37" s="260" t="s">
        <v>205</v>
      </c>
      <c r="B37" s="317"/>
      <c r="C37" s="308">
        <v>238631.55</v>
      </c>
      <c r="D37" s="561">
        <v>243073</v>
      </c>
      <c r="E37" s="310">
        <v>25527.42</v>
      </c>
      <c r="F37" s="310">
        <v>11454</v>
      </c>
      <c r="G37" s="319">
        <v>22232</v>
      </c>
      <c r="H37" s="310">
        <v>34500</v>
      </c>
      <c r="I37" s="310">
        <v>215199.3</v>
      </c>
      <c r="J37" s="310">
        <v>262697</v>
      </c>
      <c r="K37" s="310">
        <v>86961.600000000006</v>
      </c>
      <c r="L37" s="310">
        <v>90979</v>
      </c>
      <c r="M37" s="322">
        <v>288736.28999999998</v>
      </c>
      <c r="N37" s="322">
        <v>78389</v>
      </c>
      <c r="O37" s="310">
        <v>12428</v>
      </c>
      <c r="P37" s="310">
        <v>36120</v>
      </c>
      <c r="Q37" s="325">
        <v>51666.27</v>
      </c>
      <c r="R37" s="325">
        <v>60857</v>
      </c>
      <c r="S37" s="310">
        <v>109444.45</v>
      </c>
      <c r="T37" s="310">
        <v>101538</v>
      </c>
      <c r="U37" s="310">
        <v>17717.509999999998</v>
      </c>
      <c r="V37" s="310">
        <v>12125</v>
      </c>
      <c r="W37" s="310">
        <v>981433.17</v>
      </c>
      <c r="X37" s="310">
        <v>990512</v>
      </c>
      <c r="Y37" s="310">
        <v>597453.47</v>
      </c>
      <c r="Z37" s="310">
        <v>671918</v>
      </c>
      <c r="AA37" s="328">
        <v>83674.63</v>
      </c>
      <c r="AB37" s="328">
        <v>29293</v>
      </c>
      <c r="AC37" s="310">
        <v>-69821.13</v>
      </c>
      <c r="AD37" s="310">
        <v>-69128.070000000007</v>
      </c>
      <c r="AE37" s="310">
        <v>137443.51999999999</v>
      </c>
      <c r="AF37" s="310">
        <v>161030</v>
      </c>
      <c r="AG37" s="310">
        <v>783057.03</v>
      </c>
      <c r="AH37" s="310">
        <v>439250</v>
      </c>
      <c r="AI37" s="310">
        <f>67952.21+151392.96</f>
        <v>219345.16999999998</v>
      </c>
      <c r="AJ37" s="310">
        <v>168192</v>
      </c>
      <c r="AK37" s="310">
        <f>71488.64+104186.35</f>
        <v>175674.99</v>
      </c>
      <c r="AL37" s="310">
        <v>163790</v>
      </c>
      <c r="AM37" s="331"/>
      <c r="AN37" s="331"/>
      <c r="AO37" s="332">
        <v>739453.54</v>
      </c>
      <c r="AP37" s="332">
        <v>690495</v>
      </c>
      <c r="AQ37" s="335">
        <v>42039.7</v>
      </c>
      <c r="AR37" s="335">
        <v>46634</v>
      </c>
      <c r="AS37" s="329">
        <v>70484.100000000006</v>
      </c>
      <c r="AT37" s="329">
        <v>135168</v>
      </c>
      <c r="AU37" s="310">
        <f>304080.71+295140.36</f>
        <v>599221.07000000007</v>
      </c>
      <c r="AV37" s="310">
        <v>224054</v>
      </c>
      <c r="AW37" s="319"/>
      <c r="AX37" s="310"/>
    </row>
    <row r="38" spans="1:50">
      <c r="A38" s="260" t="s">
        <v>206</v>
      </c>
      <c r="B38" s="317"/>
      <c r="C38" s="308">
        <v>-8130.37</v>
      </c>
      <c r="D38" s="561">
        <v>-13201</v>
      </c>
      <c r="E38" s="310">
        <v>-1002.2</v>
      </c>
      <c r="F38" s="310">
        <v>-2523</v>
      </c>
      <c r="G38" s="319">
        <v>-606</v>
      </c>
      <c r="H38" s="310">
        <v>-3803</v>
      </c>
      <c r="I38" s="310">
        <v>-114.26</v>
      </c>
      <c r="J38" s="310">
        <v>-5227</v>
      </c>
      <c r="K38" s="310">
        <v>-262.12</v>
      </c>
      <c r="L38" s="310">
        <v>-649</v>
      </c>
      <c r="M38" s="322">
        <v>-8847.75</v>
      </c>
      <c r="N38" s="322">
        <v>-990</v>
      </c>
      <c r="O38" s="310">
        <v>-560</v>
      </c>
      <c r="P38" s="310">
        <v>-89</v>
      </c>
      <c r="Q38" s="325">
        <v>-925.91</v>
      </c>
      <c r="R38" s="325">
        <v>-565</v>
      </c>
      <c r="S38" s="310">
        <v>-3928.66</v>
      </c>
      <c r="T38" s="310">
        <v>-7885</v>
      </c>
      <c r="U38" s="310">
        <v>580.9</v>
      </c>
      <c r="V38" s="310">
        <v>-61</v>
      </c>
      <c r="W38" s="310">
        <v>-50518.44</v>
      </c>
      <c r="X38" s="310">
        <v>-63982</v>
      </c>
      <c r="Y38" s="310">
        <v>-114330.07</v>
      </c>
      <c r="Z38" s="310">
        <v>-28778</v>
      </c>
      <c r="AA38" s="328">
        <v>154.9</v>
      </c>
      <c r="AB38" s="328">
        <v>-87</v>
      </c>
      <c r="AC38" s="310"/>
      <c r="AD38" s="310"/>
      <c r="AE38" s="310">
        <v>-415319</v>
      </c>
      <c r="AF38" s="310">
        <v>-3090</v>
      </c>
      <c r="AG38" s="310">
        <v>-9112.9</v>
      </c>
      <c r="AH38" s="310">
        <v>-4946</v>
      </c>
      <c r="AI38" s="310">
        <v>-19046.88</v>
      </c>
      <c r="AJ38" s="310">
        <v>-7432</v>
      </c>
      <c r="AK38" s="310"/>
      <c r="AL38" s="310"/>
      <c r="AM38" s="331"/>
      <c r="AN38" s="331"/>
      <c r="AO38" s="332">
        <v>-9682.6</v>
      </c>
      <c r="AP38" s="332">
        <v>-1170</v>
      </c>
      <c r="AQ38" s="335"/>
      <c r="AR38" s="335"/>
      <c r="AS38" s="329">
        <v>-4946.26</v>
      </c>
      <c r="AT38" s="329">
        <v>-7996</v>
      </c>
      <c r="AU38" s="310">
        <v>-23217.96</v>
      </c>
      <c r="AV38" s="310">
        <v>4996</v>
      </c>
      <c r="AW38" s="319"/>
      <c r="AX38" s="310"/>
    </row>
    <row r="39" spans="1:50">
      <c r="A39" s="260" t="s">
        <v>207</v>
      </c>
      <c r="B39" s="317"/>
      <c r="C39" s="308"/>
      <c r="D39" s="561"/>
      <c r="E39" s="310"/>
      <c r="F39" s="310"/>
      <c r="G39" s="319"/>
      <c r="H39" s="310"/>
      <c r="I39" s="310"/>
      <c r="J39" s="310"/>
      <c r="K39" s="310"/>
      <c r="L39" s="310"/>
      <c r="M39" s="322"/>
      <c r="N39" s="322"/>
      <c r="O39" s="310"/>
      <c r="P39" s="310"/>
      <c r="Q39" s="325"/>
      <c r="R39" s="325"/>
      <c r="S39" s="310"/>
      <c r="T39" s="310"/>
      <c r="U39" s="310"/>
      <c r="V39" s="310"/>
      <c r="W39" s="310"/>
      <c r="X39" s="310"/>
      <c r="Y39" s="310"/>
      <c r="Z39" s="310">
        <v>-3</v>
      </c>
      <c r="AA39" s="328"/>
      <c r="AB39" s="328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31"/>
      <c r="AN39" s="331"/>
      <c r="AO39" s="299"/>
      <c r="AP39" s="299"/>
      <c r="AQ39" s="335"/>
      <c r="AR39" s="335"/>
      <c r="AS39" s="329"/>
      <c r="AT39" s="329"/>
      <c r="AU39" s="310"/>
      <c r="AV39" s="310"/>
      <c r="AW39" s="319"/>
      <c r="AX39" s="310"/>
    </row>
    <row r="40" spans="1:50">
      <c r="A40" s="260" t="s">
        <v>208</v>
      </c>
      <c r="B40" s="317"/>
      <c r="C40" s="308">
        <v>272224.14</v>
      </c>
      <c r="D40" s="561">
        <v>209710</v>
      </c>
      <c r="E40" s="310"/>
      <c r="F40" s="310">
        <v>10000</v>
      </c>
      <c r="G40" s="319"/>
      <c r="H40" s="310"/>
      <c r="I40" s="310">
        <v>419113.9</v>
      </c>
      <c r="J40" s="310">
        <v>428275</v>
      </c>
      <c r="K40" s="310"/>
      <c r="L40" s="310"/>
      <c r="M40" s="322"/>
      <c r="N40" s="322"/>
      <c r="O40" s="66">
        <v>4</v>
      </c>
      <c r="P40" s="310">
        <v>42</v>
      </c>
      <c r="Q40" s="325"/>
      <c r="R40" s="325"/>
      <c r="S40" s="310"/>
      <c r="T40" s="310">
        <v>20415</v>
      </c>
      <c r="U40" s="310"/>
      <c r="V40" s="310">
        <v>3299</v>
      </c>
      <c r="W40" s="310">
        <v>1071354.25</v>
      </c>
      <c r="X40" s="310">
        <v>801298</v>
      </c>
      <c r="Y40" s="310">
        <v>1903513.55</v>
      </c>
      <c r="Z40" s="310"/>
      <c r="AA40" s="328"/>
      <c r="AB40" s="328">
        <v>35455</v>
      </c>
      <c r="AC40" s="310">
        <v>70330.289999999994</v>
      </c>
      <c r="AD40" s="310">
        <v>50190.83</v>
      </c>
      <c r="AE40" s="310"/>
      <c r="AF40" s="310">
        <v>264502</v>
      </c>
      <c r="AG40" s="310"/>
      <c r="AH40" s="310"/>
      <c r="AI40" s="310"/>
      <c r="AJ40" s="310"/>
      <c r="AK40" s="310"/>
      <c r="AL40" s="310"/>
      <c r="AM40" s="331"/>
      <c r="AN40" s="331"/>
      <c r="AO40" s="332"/>
      <c r="AP40" s="332"/>
      <c r="AQ40" s="335"/>
      <c r="AR40" s="335"/>
      <c r="AS40" s="329"/>
      <c r="AT40" s="329"/>
      <c r="AU40" s="310"/>
      <c r="AV40" s="310"/>
      <c r="AW40" s="319"/>
      <c r="AX40" s="310"/>
    </row>
    <row r="41" spans="1:50" ht="17.25">
      <c r="A41" s="260" t="s">
        <v>209</v>
      </c>
      <c r="B41" s="317"/>
      <c r="C41" s="309">
        <v>-8130.37</v>
      </c>
      <c r="D41" s="562">
        <v>17493</v>
      </c>
      <c r="E41" s="311"/>
      <c r="F41" s="311"/>
      <c r="G41" s="320">
        <v>4210</v>
      </c>
      <c r="H41" s="311">
        <v>1681</v>
      </c>
      <c r="I41" s="311"/>
      <c r="J41" s="311"/>
      <c r="K41" s="311"/>
      <c r="L41" s="311"/>
      <c r="M41" s="323"/>
      <c r="N41" s="323">
        <v>-2963</v>
      </c>
      <c r="O41" s="66">
        <v>132</v>
      </c>
      <c r="P41" s="311">
        <v>311</v>
      </c>
      <c r="Q41" s="326"/>
      <c r="R41" s="326"/>
      <c r="S41" s="311"/>
      <c r="T41" s="311">
        <v>325</v>
      </c>
      <c r="U41" s="311"/>
      <c r="V41" s="311">
        <v>8</v>
      </c>
      <c r="W41" s="311">
        <v>35647.71</v>
      </c>
      <c r="X41" s="311">
        <v>37980</v>
      </c>
      <c r="Y41" s="311">
        <v>127415.74</v>
      </c>
      <c r="Z41" s="311">
        <v>43787</v>
      </c>
      <c r="AA41" s="328"/>
      <c r="AB41" s="328">
        <v>392</v>
      </c>
      <c r="AC41" s="311">
        <v>6319.22</v>
      </c>
      <c r="AD41" s="311">
        <v>1280</v>
      </c>
      <c r="AE41" s="330"/>
      <c r="AF41" s="330">
        <v>10520</v>
      </c>
      <c r="AG41" s="311">
        <v>62454.29</v>
      </c>
      <c r="AH41" s="311">
        <v>312179</v>
      </c>
      <c r="AI41" s="311"/>
      <c r="AJ41" s="311">
        <v>17830</v>
      </c>
      <c r="AK41" s="311"/>
      <c r="AL41" s="311"/>
      <c r="AM41" s="331"/>
      <c r="AN41" s="331"/>
      <c r="AO41" s="332">
        <v>161244.25</v>
      </c>
      <c r="AP41" s="332">
        <v>129025</v>
      </c>
      <c r="AQ41" s="335"/>
      <c r="AR41" s="335">
        <v>210</v>
      </c>
      <c r="AS41" s="310">
        <v>492.13</v>
      </c>
      <c r="AT41" s="310">
        <v>2918</v>
      </c>
      <c r="AU41" s="311"/>
      <c r="AV41" s="311"/>
      <c r="AW41" s="320"/>
      <c r="AX41" s="311"/>
    </row>
    <row r="42" spans="1:50" ht="17.25">
      <c r="A42" s="260" t="s">
        <v>236</v>
      </c>
      <c r="B42" s="317"/>
      <c r="C42" s="309"/>
      <c r="D42" s="562"/>
      <c r="E42" s="311"/>
      <c r="F42" s="311"/>
      <c r="G42" s="320">
        <v>34659</v>
      </c>
      <c r="H42" s="311">
        <v>25980</v>
      </c>
      <c r="I42" s="311"/>
      <c r="J42" s="311"/>
      <c r="K42" s="311"/>
      <c r="L42" s="311"/>
      <c r="M42" s="323"/>
      <c r="N42" s="323">
        <v>89335</v>
      </c>
      <c r="O42" s="311"/>
      <c r="P42" s="311"/>
      <c r="Q42" s="326"/>
      <c r="R42" s="326"/>
      <c r="S42" s="311"/>
      <c r="T42" s="311"/>
      <c r="U42" s="311"/>
      <c r="V42" s="311"/>
      <c r="W42" s="311"/>
      <c r="X42" s="311"/>
      <c r="Y42" s="311"/>
      <c r="Z42" s="311">
        <v>1606231</v>
      </c>
      <c r="AA42" s="328"/>
      <c r="AB42" s="328"/>
      <c r="AC42" s="311"/>
      <c r="AD42" s="311"/>
      <c r="AE42" s="330">
        <v>242839.85</v>
      </c>
      <c r="AF42" s="330"/>
      <c r="AG42" s="311"/>
      <c r="AH42" s="311"/>
      <c r="AI42" s="311"/>
      <c r="AJ42" s="311">
        <v>77948</v>
      </c>
      <c r="AK42" s="311"/>
      <c r="AL42" s="311"/>
      <c r="AM42" s="331"/>
      <c r="AN42" s="331"/>
      <c r="AO42" s="332">
        <v>1333111.6200000001</v>
      </c>
      <c r="AP42" s="332">
        <v>1254783</v>
      </c>
      <c r="AQ42" s="335"/>
      <c r="AR42" s="335">
        <v>2231</v>
      </c>
      <c r="AS42" s="310">
        <v>26974.41</v>
      </c>
      <c r="AT42" s="310">
        <v>18450</v>
      </c>
      <c r="AU42" s="311"/>
      <c r="AV42" s="311"/>
      <c r="AW42" s="320"/>
      <c r="AX42" s="311"/>
    </row>
    <row r="43" spans="1:50" ht="17.25">
      <c r="A43" s="260" t="s">
        <v>237</v>
      </c>
      <c r="B43" s="317"/>
      <c r="C43" s="309"/>
      <c r="D43" s="562"/>
      <c r="E43" s="311"/>
      <c r="F43" s="311"/>
      <c r="G43" s="320"/>
      <c r="H43" s="311"/>
      <c r="I43" s="311">
        <v>547.47</v>
      </c>
      <c r="J43" s="311">
        <v>14485</v>
      </c>
      <c r="K43" s="311"/>
      <c r="L43" s="311"/>
      <c r="M43" s="323"/>
      <c r="N43" s="323"/>
      <c r="O43" s="311"/>
      <c r="P43" s="311"/>
      <c r="Q43" s="326"/>
      <c r="R43" s="326"/>
      <c r="S43" s="311"/>
      <c r="T43" s="311"/>
      <c r="U43" s="311"/>
      <c r="V43" s="311"/>
      <c r="W43" s="311"/>
      <c r="X43" s="311"/>
      <c r="Y43" s="311"/>
      <c r="Z43" s="311"/>
      <c r="AA43" s="328"/>
      <c r="AB43" s="328"/>
      <c r="AC43" s="311"/>
      <c r="AD43" s="311"/>
      <c r="AE43" s="330"/>
      <c r="AF43" s="330"/>
      <c r="AG43" s="311"/>
      <c r="AH43" s="311"/>
      <c r="AI43" s="311"/>
      <c r="AJ43" s="311"/>
      <c r="AK43" s="311"/>
      <c r="AL43" s="311"/>
      <c r="AM43" s="331"/>
      <c r="AN43" s="331"/>
      <c r="AO43" s="332"/>
      <c r="AP43" s="332"/>
      <c r="AQ43" s="335"/>
      <c r="AR43" s="335"/>
      <c r="AS43" s="310"/>
      <c r="AT43" s="310"/>
      <c r="AU43" s="311"/>
      <c r="AV43" s="311"/>
      <c r="AW43" s="320"/>
      <c r="AX43" s="311"/>
    </row>
    <row r="44" spans="1:50" ht="17.25">
      <c r="A44" s="260" t="s">
        <v>251</v>
      </c>
      <c r="B44" s="317"/>
      <c r="C44" s="309"/>
      <c r="D44" s="562"/>
      <c r="E44" s="311"/>
      <c r="F44" s="311"/>
      <c r="G44" s="320"/>
      <c r="H44" s="311"/>
      <c r="I44" s="311"/>
      <c r="J44" s="311"/>
      <c r="K44" s="311"/>
      <c r="L44" s="311"/>
      <c r="M44" s="323"/>
      <c r="N44" s="323"/>
      <c r="O44" s="311"/>
      <c r="P44" s="311"/>
      <c r="Q44" s="326"/>
      <c r="R44" s="326"/>
      <c r="S44" s="311"/>
      <c r="T44" s="311"/>
      <c r="U44" s="311"/>
      <c r="V44" s="311"/>
      <c r="W44" s="311"/>
      <c r="X44" s="311"/>
      <c r="Y44" s="311"/>
      <c r="Z44" s="311"/>
      <c r="AA44" s="328"/>
      <c r="AB44" s="328"/>
      <c r="AC44" s="311"/>
      <c r="AD44" s="311"/>
      <c r="AE44" s="330"/>
      <c r="AF44" s="330"/>
      <c r="AG44" s="311"/>
      <c r="AH44" s="311"/>
      <c r="AI44" s="311"/>
      <c r="AJ44" s="311"/>
      <c r="AK44" s="311"/>
      <c r="AL44" s="311"/>
      <c r="AM44" s="331"/>
      <c r="AN44" s="331"/>
      <c r="AO44" s="332"/>
      <c r="AP44" s="332"/>
      <c r="AQ44" s="335"/>
      <c r="AR44" s="335"/>
      <c r="AS44" s="310"/>
      <c r="AT44" s="310"/>
      <c r="AU44" s="311"/>
      <c r="AV44" s="311"/>
      <c r="AW44" s="320"/>
      <c r="AX44" s="311"/>
    </row>
    <row r="45" spans="1:50" s="631" customFormat="1" ht="18">
      <c r="A45" s="619" t="s">
        <v>210</v>
      </c>
      <c r="B45" s="620"/>
      <c r="C45" s="621">
        <v>692734.24</v>
      </c>
      <c r="D45" s="622">
        <v>787767</v>
      </c>
      <c r="E45" s="623">
        <v>34130.78</v>
      </c>
      <c r="F45" s="623">
        <v>39632</v>
      </c>
      <c r="G45" s="624">
        <v>101398</v>
      </c>
      <c r="H45" s="623">
        <v>114918</v>
      </c>
      <c r="I45" s="623">
        <v>889698.1</v>
      </c>
      <c r="J45" s="623">
        <v>1103468</v>
      </c>
      <c r="K45" s="623">
        <v>106325.98</v>
      </c>
      <c r="L45" s="623">
        <v>131440</v>
      </c>
      <c r="M45" s="625">
        <v>355198.66</v>
      </c>
      <c r="N45" s="625">
        <v>239507</v>
      </c>
      <c r="O45" s="623">
        <v>21553</v>
      </c>
      <c r="P45" s="623">
        <v>62857</v>
      </c>
      <c r="Q45" s="626">
        <v>56622.69</v>
      </c>
      <c r="R45" s="626">
        <v>74691</v>
      </c>
      <c r="S45" s="623">
        <v>172258</v>
      </c>
      <c r="T45" s="623">
        <v>212061</v>
      </c>
      <c r="U45" s="623">
        <v>41173.760000000002</v>
      </c>
      <c r="V45" s="623">
        <v>32913</v>
      </c>
      <c r="W45" s="623">
        <v>2793384.36</v>
      </c>
      <c r="X45" s="623">
        <v>3179707</v>
      </c>
      <c r="Y45" s="623">
        <v>3264635.22</v>
      </c>
      <c r="Z45" s="623">
        <v>3662200</v>
      </c>
      <c r="AA45" s="627">
        <v>120591.06</v>
      </c>
      <c r="AB45" s="627">
        <v>94519</v>
      </c>
      <c r="AC45" s="623">
        <v>242989.15</v>
      </c>
      <c r="AD45" s="623">
        <v>172825.87</v>
      </c>
      <c r="AE45" s="623">
        <v>534875.71</v>
      </c>
      <c r="AF45" s="623">
        <v>713047</v>
      </c>
      <c r="AG45" s="623">
        <v>1100445.6000000001</v>
      </c>
      <c r="AH45" s="623">
        <v>1288761</v>
      </c>
      <c r="AI45" s="623">
        <v>305646.2</v>
      </c>
      <c r="AJ45" s="623">
        <v>404992</v>
      </c>
      <c r="AK45" s="623">
        <v>276565.49</v>
      </c>
      <c r="AL45" s="623">
        <v>318697</v>
      </c>
      <c r="AM45" s="628"/>
      <c r="AN45" s="628"/>
      <c r="AO45" s="629">
        <v>3152035.71</v>
      </c>
      <c r="AP45" s="629">
        <v>3824857</v>
      </c>
      <c r="AQ45" s="630">
        <v>60111.38</v>
      </c>
      <c r="AR45" s="630">
        <v>91156</v>
      </c>
      <c r="AS45" s="627">
        <v>144561.4</v>
      </c>
      <c r="AT45" s="627">
        <v>217085</v>
      </c>
      <c r="AU45" s="623">
        <v>679911.46</v>
      </c>
      <c r="AV45" s="623"/>
      <c r="AW45" s="624"/>
      <c r="AX45" s="623"/>
    </row>
    <row r="46" spans="1:50" s="631" customFormat="1" ht="18">
      <c r="A46" s="619" t="s">
        <v>211</v>
      </c>
      <c r="B46" s="620"/>
      <c r="C46" s="621">
        <v>10298.01</v>
      </c>
      <c r="D46" s="622">
        <v>14021</v>
      </c>
      <c r="E46" s="623">
        <v>2364.66</v>
      </c>
      <c r="F46" s="623">
        <v>-4053</v>
      </c>
      <c r="G46" s="624">
        <v>798</v>
      </c>
      <c r="H46" s="623">
        <v>2192</v>
      </c>
      <c r="I46" s="623">
        <v>31996.33</v>
      </c>
      <c r="J46" s="623">
        <v>-18985</v>
      </c>
      <c r="K46" s="623">
        <v>-4743.16</v>
      </c>
      <c r="L46" s="623">
        <v>-17705</v>
      </c>
      <c r="M46" s="625">
        <v>11242.75</v>
      </c>
      <c r="N46" s="625">
        <v>-7093</v>
      </c>
      <c r="O46" s="623">
        <v>5600</v>
      </c>
      <c r="P46" s="623">
        <v>-5161</v>
      </c>
      <c r="Q46" s="626">
        <v>404.4</v>
      </c>
      <c r="R46" s="626">
        <v>131</v>
      </c>
      <c r="S46" s="623">
        <v>2188.67</v>
      </c>
      <c r="T46" s="623">
        <v>750</v>
      </c>
      <c r="U46" s="623"/>
      <c r="V46" s="623"/>
      <c r="W46" s="623">
        <v>39025.06</v>
      </c>
      <c r="X46" s="623">
        <v>22308</v>
      </c>
      <c r="Y46" s="623">
        <v>122832.21</v>
      </c>
      <c r="Z46" s="623">
        <v>66339</v>
      </c>
      <c r="AA46" s="627">
        <v>8622.81</v>
      </c>
      <c r="AB46" s="329">
        <v>1687</v>
      </c>
      <c r="AC46" s="623">
        <v>3763.42</v>
      </c>
      <c r="AD46" s="623">
        <v>10303.1</v>
      </c>
      <c r="AE46" s="623">
        <v>28716.57</v>
      </c>
      <c r="AF46" s="623">
        <v>-18133</v>
      </c>
      <c r="AG46" s="623">
        <v>-28759.86</v>
      </c>
      <c r="AH46" s="623">
        <v>14899</v>
      </c>
      <c r="AI46" s="623">
        <v>15077.37</v>
      </c>
      <c r="AJ46" s="623">
        <v>17455</v>
      </c>
      <c r="AK46" s="623">
        <v>-2501.38</v>
      </c>
      <c r="AL46" s="623">
        <v>3278</v>
      </c>
      <c r="AM46" s="628"/>
      <c r="AN46" s="628"/>
      <c r="AO46" s="629">
        <v>100288.83</v>
      </c>
      <c r="AP46" s="629">
        <v>36893</v>
      </c>
      <c r="AQ46" s="630">
        <v>3648.41</v>
      </c>
      <c r="AR46" s="630">
        <v>-9075</v>
      </c>
      <c r="AS46" s="627">
        <v>1540.29</v>
      </c>
      <c r="AT46" s="627">
        <v>-7663</v>
      </c>
      <c r="AU46" s="623">
        <v>4492.96</v>
      </c>
      <c r="AV46" s="623"/>
      <c r="AW46" s="624"/>
      <c r="AX46" s="623"/>
    </row>
    <row r="47" spans="1:50">
      <c r="A47" s="312" t="s">
        <v>246</v>
      </c>
      <c r="B47" s="317"/>
      <c r="C47" s="309"/>
      <c r="D47" s="562"/>
      <c r="E47" s="310"/>
      <c r="F47" s="310"/>
      <c r="G47" s="319"/>
      <c r="H47" s="310"/>
      <c r="I47" s="310">
        <v>196.86</v>
      </c>
      <c r="J47" s="310"/>
      <c r="K47" s="310"/>
      <c r="L47" s="310"/>
      <c r="M47" s="322"/>
      <c r="N47" s="322"/>
      <c r="O47" s="310"/>
      <c r="P47" s="310"/>
      <c r="Q47" s="326"/>
      <c r="R47" s="326"/>
      <c r="S47" s="310"/>
      <c r="T47" s="310"/>
      <c r="U47" s="310"/>
      <c r="V47" s="310"/>
      <c r="W47" s="310"/>
      <c r="X47" s="310"/>
      <c r="Y47" s="310">
        <v>-5803.43</v>
      </c>
      <c r="Z47" s="310">
        <v>-2604</v>
      </c>
      <c r="AA47" s="329">
        <v>473.07</v>
      </c>
      <c r="AB47" s="329">
        <v>184</v>
      </c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31"/>
      <c r="AN47" s="331"/>
      <c r="AO47" s="333"/>
      <c r="AP47" s="333"/>
      <c r="AQ47" s="335"/>
      <c r="AR47" s="335"/>
      <c r="AS47" s="329"/>
      <c r="AT47" s="329"/>
      <c r="AU47" s="310"/>
      <c r="AV47" s="310"/>
      <c r="AW47" s="319"/>
      <c r="AX47" s="310"/>
    </row>
    <row r="48" spans="1:50">
      <c r="A48" s="312" t="s">
        <v>212</v>
      </c>
      <c r="B48" s="317"/>
      <c r="C48" s="308"/>
      <c r="D48" s="561"/>
      <c r="E48" s="310"/>
      <c r="F48" s="310"/>
      <c r="G48" s="319"/>
      <c r="H48" s="310"/>
      <c r="I48" s="310"/>
      <c r="J48" s="310"/>
      <c r="K48" s="310"/>
      <c r="L48" s="310"/>
      <c r="M48" s="322"/>
      <c r="N48" s="322"/>
      <c r="O48" s="310"/>
      <c r="P48" s="310"/>
      <c r="Q48" s="325"/>
      <c r="R48" s="325"/>
      <c r="S48" s="310"/>
      <c r="T48" s="310"/>
      <c r="U48" s="310"/>
      <c r="V48" s="310"/>
      <c r="W48" s="310"/>
      <c r="X48" s="310"/>
      <c r="Y48" s="310"/>
      <c r="Z48" s="310"/>
      <c r="AA48" s="329"/>
      <c r="AB48" s="329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31"/>
      <c r="AN48" s="331"/>
      <c r="AO48" s="299"/>
      <c r="AP48" s="299"/>
      <c r="AQ48" s="335"/>
      <c r="AR48" s="335"/>
      <c r="AS48" s="329"/>
      <c r="AT48" s="329"/>
      <c r="AU48" s="310"/>
      <c r="AV48" s="310"/>
      <c r="AW48" s="319"/>
      <c r="AX48" s="310"/>
    </row>
    <row r="49" spans="1:50">
      <c r="A49" s="312" t="s">
        <v>241</v>
      </c>
      <c r="B49" s="317"/>
      <c r="C49" s="308"/>
      <c r="D49" s="561"/>
      <c r="E49" s="310"/>
      <c r="F49" s="310"/>
      <c r="G49" s="319"/>
      <c r="H49" s="310"/>
      <c r="I49" s="310"/>
      <c r="J49" s="310"/>
      <c r="K49" s="310"/>
      <c r="L49" s="310"/>
      <c r="M49" s="322"/>
      <c r="N49" s="322"/>
      <c r="O49" s="310"/>
      <c r="P49" s="310"/>
      <c r="Q49" s="325"/>
      <c r="R49" s="325"/>
      <c r="S49" s="310"/>
      <c r="T49" s="310"/>
      <c r="U49" s="310"/>
      <c r="V49" s="310"/>
      <c r="W49" s="310"/>
      <c r="X49" s="310"/>
      <c r="Y49" s="310"/>
      <c r="Z49" s="310"/>
      <c r="AA49" s="329"/>
      <c r="AB49" s="329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31"/>
      <c r="AN49" s="331"/>
      <c r="AO49" s="299"/>
      <c r="AP49" s="299"/>
      <c r="AQ49" s="335"/>
      <c r="AR49" s="335"/>
      <c r="AS49" s="329"/>
      <c r="AT49" s="329"/>
      <c r="AU49" s="310"/>
      <c r="AV49" s="310"/>
      <c r="AW49" s="319"/>
      <c r="AX49" s="310"/>
    </row>
    <row r="50" spans="1:50">
      <c r="A50" s="260" t="s">
        <v>213</v>
      </c>
      <c r="B50" s="317"/>
      <c r="C50" s="308"/>
      <c r="D50" s="561"/>
      <c r="E50" s="310"/>
      <c r="F50" s="310"/>
      <c r="G50" s="319"/>
      <c r="H50" s="310"/>
      <c r="I50" s="310"/>
      <c r="J50" s="310"/>
      <c r="K50" s="310"/>
      <c r="L50" s="310"/>
      <c r="M50" s="322"/>
      <c r="N50" s="322"/>
      <c r="O50" s="310"/>
      <c r="P50" s="310"/>
      <c r="Q50" s="325"/>
      <c r="R50" s="325"/>
      <c r="S50" s="310"/>
      <c r="T50" s="310"/>
      <c r="U50" s="310"/>
      <c r="V50" s="310"/>
      <c r="W50" s="310"/>
      <c r="X50" s="310"/>
      <c r="Y50" s="310"/>
      <c r="Z50" s="310"/>
      <c r="AA50" s="329"/>
      <c r="AB50" s="329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31"/>
      <c r="AN50" s="331"/>
      <c r="AO50" s="332">
        <v>2547.13</v>
      </c>
      <c r="AP50" s="332">
        <v>36893</v>
      </c>
      <c r="AQ50" s="335">
        <v>6775.57</v>
      </c>
      <c r="AR50" s="335">
        <v>-453</v>
      </c>
      <c r="AS50" s="329"/>
      <c r="AT50" s="329"/>
      <c r="AU50" s="310"/>
      <c r="AV50" s="310"/>
      <c r="AW50" s="319"/>
      <c r="AX50" s="310"/>
    </row>
    <row r="51" spans="1:50" ht="17.25">
      <c r="A51" s="312" t="s">
        <v>133</v>
      </c>
      <c r="B51" s="317"/>
      <c r="C51" s="309"/>
      <c r="D51" s="562"/>
      <c r="E51" s="311"/>
      <c r="F51" s="311"/>
      <c r="G51" s="320"/>
      <c r="H51" s="311"/>
      <c r="I51" s="311"/>
      <c r="J51" s="311"/>
      <c r="K51" s="311"/>
      <c r="L51" s="311"/>
      <c r="M51" s="323"/>
      <c r="N51" s="323"/>
      <c r="O51" s="311"/>
      <c r="P51" s="311"/>
      <c r="Q51" s="326"/>
      <c r="R51" s="326"/>
      <c r="S51" s="311"/>
      <c r="T51" s="311"/>
      <c r="U51" s="311"/>
      <c r="V51" s="311"/>
      <c r="W51" s="311"/>
      <c r="X51" s="311"/>
      <c r="Y51" s="311"/>
      <c r="Z51" s="311"/>
      <c r="AA51" s="310"/>
      <c r="AB51" s="310"/>
      <c r="AC51" s="311"/>
      <c r="AD51" s="311"/>
      <c r="AE51" s="330"/>
      <c r="AF51" s="330"/>
      <c r="AG51" s="311"/>
      <c r="AH51" s="311"/>
      <c r="AI51" s="311"/>
      <c r="AJ51" s="311"/>
      <c r="AK51" s="311"/>
      <c r="AL51" s="311"/>
      <c r="AM51" s="331"/>
      <c r="AN51" s="331"/>
      <c r="AO51" s="299"/>
      <c r="AP51" s="299"/>
      <c r="AQ51" s="335"/>
      <c r="AR51" s="335"/>
      <c r="AS51" s="310"/>
      <c r="AT51" s="310"/>
      <c r="AU51" s="311"/>
      <c r="AV51" s="311"/>
      <c r="AW51" s="320"/>
      <c r="AX51" s="311"/>
    </row>
    <row r="52" spans="1:50">
      <c r="A52" s="260" t="s">
        <v>214</v>
      </c>
      <c r="B52" s="317"/>
      <c r="C52" s="308">
        <v>10251.950000000001</v>
      </c>
      <c r="D52" s="561">
        <v>14020</v>
      </c>
      <c r="E52" s="310"/>
      <c r="F52" s="310"/>
      <c r="G52" s="319"/>
      <c r="H52" s="310"/>
      <c r="I52" s="310">
        <v>20948.03</v>
      </c>
      <c r="J52" s="310">
        <v>10671</v>
      </c>
      <c r="K52" s="310">
        <v>-8237.64</v>
      </c>
      <c r="L52" s="310">
        <v>-20091</v>
      </c>
      <c r="M52" s="322"/>
      <c r="N52" s="322">
        <v>9605</v>
      </c>
      <c r="O52" s="310">
        <v>5557</v>
      </c>
      <c r="P52" s="310">
        <v>1790</v>
      </c>
      <c r="Q52" s="327"/>
      <c r="R52" s="327"/>
      <c r="S52" s="310"/>
      <c r="T52" s="310"/>
      <c r="U52" s="310"/>
      <c r="V52" s="310"/>
      <c r="W52" s="310">
        <v>56454.53</v>
      </c>
      <c r="X52" s="310">
        <v>32683</v>
      </c>
      <c r="Y52" s="310">
        <v>109924.63</v>
      </c>
      <c r="Z52" s="310">
        <v>72946</v>
      </c>
      <c r="AA52" s="329"/>
      <c r="AB52" s="329"/>
      <c r="AC52" s="310">
        <v>1873.01</v>
      </c>
      <c r="AD52" s="310">
        <v>6075.97</v>
      </c>
      <c r="AE52" s="310"/>
      <c r="AF52" s="310"/>
      <c r="AG52" s="310">
        <v>18614.099999999999</v>
      </c>
      <c r="AH52" s="310">
        <v>14829</v>
      </c>
      <c r="AI52" s="310">
        <v>4186.03</v>
      </c>
      <c r="AJ52" s="310">
        <v>2818</v>
      </c>
      <c r="AK52" s="310"/>
      <c r="AL52" s="310"/>
      <c r="AM52" s="331"/>
      <c r="AN52" s="331"/>
      <c r="AO52" s="332">
        <v>39554.28</v>
      </c>
      <c r="AP52" s="332">
        <v>9303</v>
      </c>
      <c r="AQ52" s="335"/>
      <c r="AR52" s="335"/>
      <c r="AS52" s="329">
        <v>4747.46</v>
      </c>
      <c r="AT52" s="329"/>
      <c r="AU52" s="310">
        <v>1939.33</v>
      </c>
      <c r="AV52" s="310"/>
      <c r="AW52" s="319"/>
      <c r="AX52" s="310"/>
    </row>
    <row r="53" spans="1:50">
      <c r="A53" s="260" t="s">
        <v>234</v>
      </c>
      <c r="B53" s="317"/>
      <c r="C53" s="308"/>
      <c r="D53" s="561"/>
      <c r="E53" s="310">
        <v>331.32</v>
      </c>
      <c r="F53" s="310">
        <v>-6400</v>
      </c>
      <c r="G53" s="319">
        <v>69</v>
      </c>
      <c r="H53" s="310">
        <v>1816</v>
      </c>
      <c r="I53" s="310"/>
      <c r="J53" s="310"/>
      <c r="K53" s="310"/>
      <c r="L53" s="310"/>
      <c r="M53" s="322">
        <v>10354.6</v>
      </c>
      <c r="N53" s="322">
        <v>1727</v>
      </c>
      <c r="O53" s="310"/>
      <c r="P53" s="310"/>
      <c r="Q53" s="327">
        <v>377.42</v>
      </c>
      <c r="R53" s="327">
        <v>21</v>
      </c>
      <c r="S53" s="310">
        <v>19201</v>
      </c>
      <c r="T53" s="310">
        <v>16747</v>
      </c>
      <c r="U53" s="310"/>
      <c r="V53" s="310"/>
      <c r="W53" s="310"/>
      <c r="X53" s="310"/>
      <c r="Y53" s="310"/>
      <c r="Z53" s="310"/>
      <c r="AA53" s="329"/>
      <c r="AB53" s="329">
        <v>-2254</v>
      </c>
      <c r="AC53" s="310">
        <v>-427.34</v>
      </c>
      <c r="AD53" s="310">
        <v>24.09</v>
      </c>
      <c r="AE53" s="310"/>
      <c r="AF53" s="310"/>
      <c r="AG53" s="310"/>
      <c r="AH53" s="310"/>
      <c r="AI53" s="310"/>
      <c r="AJ53" s="310"/>
      <c r="AK53" s="310"/>
      <c r="AL53" s="310">
        <v>1720</v>
      </c>
      <c r="AM53" s="331"/>
      <c r="AN53" s="331"/>
      <c r="AO53" s="332"/>
      <c r="AP53" s="332"/>
      <c r="AQ53" s="335"/>
      <c r="AR53" s="335"/>
      <c r="AS53" s="329">
        <v>2516.8200000000002</v>
      </c>
      <c r="AT53" s="329"/>
      <c r="AU53" s="310"/>
      <c r="AV53" s="310"/>
      <c r="AW53" s="319"/>
      <c r="AX53" s="310"/>
    </row>
    <row r="54" spans="1:50">
      <c r="A54" s="260" t="s">
        <v>215</v>
      </c>
      <c r="B54" s="317"/>
      <c r="C54" s="308"/>
      <c r="D54" s="561"/>
      <c r="E54" s="310"/>
      <c r="F54" s="310"/>
      <c r="G54" s="319"/>
      <c r="H54" s="310"/>
      <c r="I54" s="310"/>
      <c r="J54" s="310"/>
      <c r="K54" s="310"/>
      <c r="L54" s="310"/>
      <c r="M54" s="322"/>
      <c r="N54" s="322"/>
      <c r="O54" s="310"/>
      <c r="P54" s="310"/>
      <c r="Q54" s="327"/>
      <c r="R54" s="327"/>
      <c r="S54" s="310"/>
      <c r="T54" s="310"/>
      <c r="U54" s="310"/>
      <c r="V54" s="310"/>
      <c r="W54" s="310"/>
      <c r="X54" s="310"/>
      <c r="Y54" s="310"/>
      <c r="Z54" s="310"/>
      <c r="AA54" s="329"/>
      <c r="AB54" s="329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31"/>
      <c r="AN54" s="331"/>
      <c r="AO54" s="299"/>
      <c r="AP54" s="299"/>
      <c r="AQ54" s="335"/>
      <c r="AR54" s="335"/>
      <c r="AS54" s="329"/>
      <c r="AT54" s="329"/>
      <c r="AU54" s="310"/>
      <c r="AV54" s="310"/>
      <c r="AW54" s="319"/>
      <c r="AX54" s="310"/>
    </row>
    <row r="55" spans="1:50">
      <c r="A55" s="260" t="s">
        <v>216</v>
      </c>
      <c r="B55" s="317"/>
      <c r="C55" s="308">
        <v>46.06</v>
      </c>
      <c r="D55" s="561"/>
      <c r="E55" s="310">
        <v>2033.34</v>
      </c>
      <c r="F55" s="310">
        <v>2347</v>
      </c>
      <c r="G55" s="319">
        <v>729</v>
      </c>
      <c r="H55" s="310">
        <v>376</v>
      </c>
      <c r="I55" s="310">
        <v>10851.44</v>
      </c>
      <c r="J55" s="310">
        <v>357</v>
      </c>
      <c r="K55" s="310">
        <v>3494.48</v>
      </c>
      <c r="L55" s="310">
        <v>2386</v>
      </c>
      <c r="M55" s="322">
        <v>888.15</v>
      </c>
      <c r="N55" s="322">
        <v>785</v>
      </c>
      <c r="O55" s="310">
        <v>137</v>
      </c>
      <c r="P55" s="310">
        <v>1106</v>
      </c>
      <c r="Q55" s="327">
        <v>26.98</v>
      </c>
      <c r="R55" s="327">
        <v>108</v>
      </c>
      <c r="S55" s="310"/>
      <c r="T55" s="310"/>
      <c r="U55" s="310"/>
      <c r="V55" s="310"/>
      <c r="W55" s="310">
        <v>-17429.47</v>
      </c>
      <c r="X55" s="310">
        <v>-10375</v>
      </c>
      <c r="Y55" s="310">
        <v>7104.15</v>
      </c>
      <c r="Z55" s="310">
        <v>-9211</v>
      </c>
      <c r="AA55" s="329">
        <v>9101.15</v>
      </c>
      <c r="AB55" s="329">
        <v>3757</v>
      </c>
      <c r="AC55" s="310">
        <v>2317.75</v>
      </c>
      <c r="AD55" s="310">
        <v>4203.03</v>
      </c>
      <c r="AE55" s="310">
        <v>28716.57</v>
      </c>
      <c r="AF55" s="310"/>
      <c r="AG55" s="310">
        <v>-35381.11</v>
      </c>
      <c r="AH55" s="310">
        <v>14934</v>
      </c>
      <c r="AI55" s="310">
        <v>10891.34</v>
      </c>
      <c r="AJ55" s="310">
        <v>14637</v>
      </c>
      <c r="AK55" s="310">
        <v>-2501.38</v>
      </c>
      <c r="AL55" s="310">
        <v>1559</v>
      </c>
      <c r="AM55" s="331"/>
      <c r="AN55" s="331"/>
      <c r="AO55" s="332">
        <v>60734.54</v>
      </c>
      <c r="AP55" s="332">
        <v>27589</v>
      </c>
      <c r="AQ55" s="335">
        <v>6775.57</v>
      </c>
      <c r="AR55" s="335">
        <v>-453</v>
      </c>
      <c r="AS55" s="329">
        <v>1891.44</v>
      </c>
      <c r="AT55" s="329"/>
      <c r="AU55" s="310">
        <v>2553.63</v>
      </c>
      <c r="AV55" s="310"/>
      <c r="AW55" s="319"/>
      <c r="AX55" s="310"/>
    </row>
    <row r="56" spans="1:50" s="631" customFormat="1" ht="18">
      <c r="A56" s="619" t="s">
        <v>247</v>
      </c>
      <c r="B56" s="620"/>
      <c r="C56" s="621">
        <f>C46</f>
        <v>10298.01</v>
      </c>
      <c r="D56" s="621">
        <v>14020</v>
      </c>
      <c r="E56" s="621">
        <v>2364.66</v>
      </c>
      <c r="F56" s="621">
        <v>-4053</v>
      </c>
      <c r="G56" s="621">
        <v>798</v>
      </c>
      <c r="H56" s="621">
        <v>2192</v>
      </c>
      <c r="I56" s="621">
        <v>31799.47</v>
      </c>
      <c r="J56" s="621">
        <v>11028</v>
      </c>
      <c r="K56" s="621">
        <v>-4743.16</v>
      </c>
      <c r="L56" s="621">
        <v>-17705</v>
      </c>
      <c r="M56" s="621">
        <v>11242.75</v>
      </c>
      <c r="N56" s="621">
        <v>2512</v>
      </c>
      <c r="O56" s="621">
        <v>5694</v>
      </c>
      <c r="P56" s="621">
        <v>2896</v>
      </c>
      <c r="Q56" s="621">
        <v>404.4</v>
      </c>
      <c r="R56" s="621">
        <v>131</v>
      </c>
      <c r="S56" s="621">
        <v>2188.67</v>
      </c>
      <c r="T56" s="621">
        <v>750</v>
      </c>
      <c r="U56" s="621"/>
      <c r="V56" s="621"/>
      <c r="W56" s="621">
        <v>39025.06</v>
      </c>
      <c r="X56" s="621">
        <v>22308</v>
      </c>
      <c r="Y56" s="621">
        <v>117028.78</v>
      </c>
      <c r="Z56" s="621">
        <v>63735</v>
      </c>
      <c r="AA56" s="621">
        <v>8149.74</v>
      </c>
      <c r="AB56" s="621">
        <v>1503</v>
      </c>
      <c r="AC56" s="621">
        <v>3763.42</v>
      </c>
      <c r="AD56" s="621">
        <v>10303.09</v>
      </c>
      <c r="AE56" s="621">
        <f>AE55</f>
        <v>28716.57</v>
      </c>
      <c r="AF56" s="621"/>
      <c r="AG56" s="621"/>
      <c r="AH56" s="621">
        <v>29763</v>
      </c>
      <c r="AI56" s="621">
        <f>AI46</f>
        <v>15077.37</v>
      </c>
      <c r="AJ56" s="621">
        <v>17455</v>
      </c>
      <c r="AK56" s="621">
        <f t="shared" ref="AK56:AO56" si="2">AK46</f>
        <v>-2501.38</v>
      </c>
      <c r="AL56" s="621">
        <v>3278</v>
      </c>
      <c r="AM56" s="621">
        <f t="shared" si="2"/>
        <v>0</v>
      </c>
      <c r="AN56" s="621">
        <f t="shared" si="2"/>
        <v>0</v>
      </c>
      <c r="AO56" s="621">
        <f t="shared" si="2"/>
        <v>100288.83</v>
      </c>
      <c r="AP56" s="621">
        <v>36893</v>
      </c>
      <c r="AQ56" s="621">
        <f>AQ46</f>
        <v>3648.41</v>
      </c>
      <c r="AR56" s="621">
        <v>-453</v>
      </c>
      <c r="AS56" s="621">
        <v>9155.7199999999993</v>
      </c>
      <c r="AT56" s="621">
        <v>13596</v>
      </c>
      <c r="AU56" s="621">
        <f>AU46</f>
        <v>4492.96</v>
      </c>
      <c r="AV56" s="621"/>
      <c r="AW56" s="621">
        <f>AW46</f>
        <v>0</v>
      </c>
      <c r="AX56" s="621"/>
    </row>
    <row r="57" spans="1:50" ht="17.25">
      <c r="A57" s="260" t="s">
        <v>217</v>
      </c>
      <c r="B57" s="317"/>
      <c r="C57" s="309">
        <f>349.68+5.64</f>
        <v>355.32</v>
      </c>
      <c r="D57" s="562">
        <f>658+17</f>
        <v>675</v>
      </c>
      <c r="E57" s="311">
        <v>2.56</v>
      </c>
      <c r="F57" s="311">
        <v>10</v>
      </c>
      <c r="G57" s="320">
        <v>20</v>
      </c>
      <c r="H57" s="311">
        <v>82</v>
      </c>
      <c r="I57" s="311">
        <v>5612.27</v>
      </c>
      <c r="J57" s="311">
        <v>8554</v>
      </c>
      <c r="K57" s="311"/>
      <c r="L57" s="311"/>
      <c r="M57" s="323">
        <v>150.94</v>
      </c>
      <c r="N57" s="323">
        <v>250</v>
      </c>
      <c r="O57" s="311">
        <v>1.05</v>
      </c>
      <c r="P57" s="311">
        <v>2</v>
      </c>
      <c r="Q57" s="83">
        <v>1.45</v>
      </c>
      <c r="R57" s="83">
        <v>1</v>
      </c>
      <c r="S57" s="311"/>
      <c r="T57" s="311"/>
      <c r="U57" s="311">
        <v>71.55</v>
      </c>
      <c r="V57" s="311">
        <v>81</v>
      </c>
      <c r="W57" s="311">
        <v>28766.1</v>
      </c>
      <c r="X57" s="311">
        <f>24423+41720</f>
        <v>66143</v>
      </c>
      <c r="Y57" s="311"/>
      <c r="Z57" s="311"/>
      <c r="AA57" s="328"/>
      <c r="AB57" s="328">
        <v>27</v>
      </c>
      <c r="AC57" s="311"/>
      <c r="AD57" s="311"/>
      <c r="AE57" s="330">
        <v>1598.9</v>
      </c>
      <c r="AF57" s="330">
        <v>2304</v>
      </c>
      <c r="AG57" s="311">
        <v>108.7</v>
      </c>
      <c r="AH57" s="311">
        <v>243</v>
      </c>
      <c r="AI57" s="311">
        <v>198.78</v>
      </c>
      <c r="AJ57" s="311">
        <v>250</v>
      </c>
      <c r="AK57" s="311">
        <v>10.27</v>
      </c>
      <c r="AL57" s="311"/>
      <c r="AM57" s="331"/>
      <c r="AN57" s="331"/>
      <c r="AO57" s="332">
        <v>2665.12</v>
      </c>
      <c r="AP57" s="332">
        <v>4296</v>
      </c>
      <c r="AQ57" s="335"/>
      <c r="AR57" s="335">
        <v>18</v>
      </c>
      <c r="AS57" s="310">
        <v>0.36</v>
      </c>
      <c r="AT57" s="310">
        <v>1</v>
      </c>
      <c r="AU57" s="311"/>
      <c r="AV57" s="311"/>
      <c r="AW57" s="320"/>
      <c r="AX57" s="311"/>
    </row>
    <row r="58" spans="1:50">
      <c r="A58" s="260" t="s">
        <v>218</v>
      </c>
      <c r="B58" s="317"/>
      <c r="C58" s="308"/>
      <c r="D58" s="561"/>
      <c r="E58" s="310"/>
      <c r="F58" s="310"/>
      <c r="G58" s="319"/>
      <c r="H58" s="310"/>
      <c r="I58" s="310"/>
      <c r="J58" s="310"/>
      <c r="K58" s="310"/>
      <c r="L58" s="310"/>
      <c r="M58" s="322"/>
      <c r="N58" s="322"/>
      <c r="O58" s="310"/>
      <c r="P58" s="310"/>
      <c r="Q58" s="327"/>
      <c r="R58" s="327"/>
      <c r="S58" s="310"/>
      <c r="T58" s="310"/>
      <c r="U58" s="310"/>
      <c r="V58" s="310"/>
      <c r="W58" s="310"/>
      <c r="X58" s="310"/>
      <c r="Y58" s="310"/>
      <c r="Z58" s="310"/>
      <c r="AA58" s="329"/>
      <c r="AB58" s="329"/>
      <c r="AC58" s="310"/>
      <c r="AD58" s="310"/>
      <c r="AE58" s="310"/>
      <c r="AF58" s="310"/>
      <c r="AG58" s="310">
        <v>130671</v>
      </c>
      <c r="AH58" s="310">
        <v>131087</v>
      </c>
      <c r="AI58" s="310"/>
      <c r="AJ58" s="310"/>
      <c r="AK58" s="310"/>
      <c r="AL58" s="310"/>
      <c r="AM58" s="331"/>
      <c r="AN58" s="331"/>
      <c r="AO58" s="299"/>
      <c r="AP58" s="299"/>
      <c r="AQ58" s="335"/>
      <c r="AR58" s="335">
        <v>10065</v>
      </c>
      <c r="AS58" s="329"/>
      <c r="AT58" s="329"/>
      <c r="AU58" s="310"/>
      <c r="AV58" s="310"/>
      <c r="AW58" s="319"/>
      <c r="AX58" s="310"/>
    </row>
    <row r="59" spans="1:50" ht="17.25" thickBot="1">
      <c r="A59" s="477" t="s">
        <v>219</v>
      </c>
      <c r="B59" s="478"/>
      <c r="C59" s="479">
        <v>10298.01</v>
      </c>
      <c r="D59" s="563">
        <v>14020</v>
      </c>
      <c r="E59" s="480">
        <v>2364.66</v>
      </c>
      <c r="F59" s="480">
        <v>-4053</v>
      </c>
      <c r="G59" s="481">
        <v>798</v>
      </c>
      <c r="H59" s="480">
        <v>2192</v>
      </c>
      <c r="I59" s="480">
        <v>31799.47</v>
      </c>
      <c r="J59" s="480">
        <v>11028</v>
      </c>
      <c r="K59" s="480">
        <v>-4743</v>
      </c>
      <c r="L59" s="480">
        <v>-17705</v>
      </c>
      <c r="M59" s="482">
        <v>11242.75</v>
      </c>
      <c r="N59" s="482">
        <v>2512</v>
      </c>
      <c r="O59" s="480">
        <v>5694</v>
      </c>
      <c r="P59" s="480">
        <v>2896</v>
      </c>
      <c r="Q59" s="483">
        <v>404.4</v>
      </c>
      <c r="R59" s="483">
        <v>129</v>
      </c>
      <c r="S59" s="480"/>
      <c r="T59" s="480"/>
      <c r="U59" s="480"/>
      <c r="V59" s="480"/>
      <c r="W59" s="480">
        <v>39025.06</v>
      </c>
      <c r="X59" s="480">
        <v>22308</v>
      </c>
      <c r="Y59" s="480"/>
      <c r="Z59" s="480"/>
      <c r="AA59" s="484"/>
      <c r="AB59" s="484">
        <v>1503</v>
      </c>
      <c r="AC59" s="480"/>
      <c r="AD59" s="480">
        <v>10303.1</v>
      </c>
      <c r="AE59" s="480">
        <v>28716.57</v>
      </c>
      <c r="AF59" s="480">
        <v>10457</v>
      </c>
      <c r="AG59" s="480">
        <v>292856</v>
      </c>
      <c r="AH59" s="480">
        <v>29763</v>
      </c>
      <c r="AI59" s="480">
        <v>15077.37</v>
      </c>
      <c r="AJ59" s="480">
        <v>17455</v>
      </c>
      <c r="AK59" s="480">
        <v>-2501.38</v>
      </c>
      <c r="AL59" s="480"/>
      <c r="AM59" s="485"/>
      <c r="AN59" s="485"/>
      <c r="AO59" s="486">
        <v>100288.83</v>
      </c>
      <c r="AP59" s="486">
        <v>27589</v>
      </c>
      <c r="AQ59" s="487"/>
      <c r="AR59" s="487">
        <v>-453</v>
      </c>
      <c r="AS59" s="484">
        <v>1540.29</v>
      </c>
      <c r="AT59" s="484">
        <v>-7663</v>
      </c>
      <c r="AU59" s="487">
        <v>4492.96</v>
      </c>
      <c r="AV59" s="487"/>
      <c r="AW59" s="481"/>
      <c r="AX59" s="480"/>
    </row>
    <row r="60" spans="1:50" s="631" customFormat="1" ht="18.75" thickBot="1">
      <c r="A60" s="632" t="s">
        <v>220</v>
      </c>
      <c r="B60" s="633"/>
      <c r="C60" s="634">
        <v>10653.33</v>
      </c>
      <c r="D60" s="635">
        <v>14695</v>
      </c>
      <c r="E60" s="636">
        <v>2367.2199999999998</v>
      </c>
      <c r="F60" s="636">
        <v>-4043</v>
      </c>
      <c r="G60" s="637">
        <v>818</v>
      </c>
      <c r="H60" s="636">
        <v>2274</v>
      </c>
      <c r="I60" s="636">
        <v>37411.74</v>
      </c>
      <c r="J60" s="636">
        <v>19582</v>
      </c>
      <c r="K60" s="636">
        <v>-4743</v>
      </c>
      <c r="L60" s="636">
        <v>-17705</v>
      </c>
      <c r="M60" s="638">
        <v>11393.69</v>
      </c>
      <c r="N60" s="638">
        <v>2762</v>
      </c>
      <c r="O60" s="636">
        <v>5695</v>
      </c>
      <c r="P60" s="636">
        <v>2898</v>
      </c>
      <c r="Q60" s="639">
        <v>405.85</v>
      </c>
      <c r="R60" s="639">
        <v>130</v>
      </c>
      <c r="S60" s="636"/>
      <c r="T60" s="636"/>
      <c r="U60" s="636">
        <v>71.55</v>
      </c>
      <c r="V60" s="636">
        <v>81</v>
      </c>
      <c r="W60" s="636">
        <v>67791.16</v>
      </c>
      <c r="X60" s="636">
        <v>88451</v>
      </c>
      <c r="Y60" s="636"/>
      <c r="Z60" s="636"/>
      <c r="AA60" s="640"/>
      <c r="AB60" s="640">
        <v>1530</v>
      </c>
      <c r="AC60" s="636"/>
      <c r="AD60" s="636">
        <v>10303.1</v>
      </c>
      <c r="AE60" s="636">
        <v>30315.47</v>
      </c>
      <c r="AF60" s="636">
        <v>12761</v>
      </c>
      <c r="AG60" s="636">
        <v>423635.7</v>
      </c>
      <c r="AH60" s="636">
        <v>161093</v>
      </c>
      <c r="AI60" s="636">
        <v>15276.15</v>
      </c>
      <c r="AJ60" s="636">
        <v>17705</v>
      </c>
      <c r="AK60" s="636">
        <v>-2491.11</v>
      </c>
      <c r="AL60" s="636"/>
      <c r="AM60" s="641"/>
      <c r="AN60" s="641"/>
      <c r="AO60" s="642">
        <v>102953.94</v>
      </c>
      <c r="AP60" s="642">
        <v>41188</v>
      </c>
      <c r="AQ60" s="643"/>
      <c r="AR60" s="643">
        <v>9630</v>
      </c>
      <c r="AS60" s="640">
        <v>1540.65</v>
      </c>
      <c r="AT60" s="640">
        <v>-7662</v>
      </c>
      <c r="AU60" s="636">
        <f>AU59</f>
        <v>4492.96</v>
      </c>
      <c r="AV60" s="636"/>
      <c r="AW60" s="637"/>
      <c r="AX60" s="636"/>
    </row>
  </sheetData>
  <mergeCells count="26"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A42"/>
  <sheetViews>
    <sheetView workbookViewId="0">
      <pane xSplit="1" topLeftCell="F1" activePane="topRight" state="frozen"/>
      <selection pane="topRight" sqref="A1:XFD1048576"/>
    </sheetView>
  </sheetViews>
  <sheetFormatPr defaultRowHeight="12.75"/>
  <cols>
    <col min="1" max="1" width="21.85546875" style="938" customWidth="1"/>
    <col min="2" max="3" width="14.140625" style="70" customWidth="1"/>
    <col min="4" max="4" width="14" style="70" customWidth="1"/>
    <col min="5" max="5" width="14.28515625" style="70" customWidth="1"/>
    <col min="6" max="7" width="16.140625" style="70" customWidth="1"/>
    <col min="8" max="9" width="15.85546875" style="70" customWidth="1"/>
    <col min="10" max="11" width="14.42578125" style="70" customWidth="1"/>
    <col min="12" max="12" width="16" style="70" customWidth="1"/>
    <col min="13" max="13" width="15.28515625" style="70" customWidth="1"/>
    <col min="14" max="15" width="16" style="70" customWidth="1"/>
    <col min="16" max="16" width="12" style="70" customWidth="1"/>
    <col min="17" max="17" width="12.42578125" style="70" customWidth="1"/>
    <col min="18" max="18" width="13.28515625" style="70" customWidth="1"/>
    <col min="19" max="19" width="13.7109375" style="70" customWidth="1"/>
    <col min="20" max="20" width="13.140625" style="70" customWidth="1"/>
    <col min="21" max="21" width="15.28515625" style="70" customWidth="1"/>
    <col min="22" max="23" width="16.42578125" style="70" customWidth="1"/>
    <col min="24" max="24" width="15.140625" style="70" customWidth="1"/>
    <col min="25" max="25" width="18.140625" style="70" customWidth="1"/>
    <col min="26" max="26" width="10" style="70" customWidth="1"/>
    <col min="27" max="27" width="12.7109375" style="70" customWidth="1"/>
    <col min="28" max="28" width="11.85546875" style="70" customWidth="1"/>
    <col min="29" max="29" width="11.140625" style="70" customWidth="1"/>
    <col min="30" max="31" width="14.5703125" style="70" customWidth="1"/>
    <col min="32" max="33" width="13.85546875" style="70" customWidth="1"/>
    <col min="34" max="34" width="10.28515625" style="70" customWidth="1"/>
    <col min="35" max="35" width="16.42578125" style="70" customWidth="1"/>
    <col min="36" max="36" width="9.85546875" style="70" customWidth="1"/>
    <col min="37" max="37" width="10.28515625" style="70" customWidth="1"/>
    <col min="38" max="39" width="15.7109375" style="920" customWidth="1"/>
    <col min="40" max="40" width="12" style="70" customWidth="1"/>
    <col min="41" max="41" width="10.85546875" style="70" customWidth="1"/>
    <col min="42" max="42" width="10" style="70" customWidth="1"/>
    <col min="43" max="43" width="13.7109375" style="70" customWidth="1"/>
    <col min="44" max="44" width="11.7109375" style="70" customWidth="1"/>
    <col min="45" max="45" width="13" style="70" customWidth="1"/>
    <col min="46" max="46" width="10.140625" style="70" customWidth="1"/>
    <col min="47" max="47" width="11.140625" style="70" customWidth="1"/>
    <col min="48" max="49" width="13.85546875" style="70" customWidth="1"/>
    <col min="50" max="50" width="14" style="70" customWidth="1"/>
    <col min="51" max="51" width="14.28515625" style="70" customWidth="1"/>
    <col min="52" max="52" width="15.42578125" style="920" customWidth="1"/>
    <col min="53" max="53" width="15.7109375" style="920" customWidth="1"/>
    <col min="54" max="16384" width="9.140625" style="920"/>
  </cols>
  <sheetData>
    <row r="1" spans="1:53" ht="57.75" customHeight="1" thickBot="1">
      <c r="A1" s="925" t="s">
        <v>369</v>
      </c>
      <c r="B1" s="1151" t="s">
        <v>150</v>
      </c>
      <c r="C1" s="1152"/>
      <c r="D1" s="1105" t="s">
        <v>151</v>
      </c>
      <c r="E1" s="1106"/>
      <c r="F1" s="1105" t="s">
        <v>152</v>
      </c>
      <c r="G1" s="1106"/>
      <c r="H1" s="1105" t="s">
        <v>153</v>
      </c>
      <c r="I1" s="1106"/>
      <c r="J1" s="1105" t="s">
        <v>154</v>
      </c>
      <c r="K1" s="1106"/>
      <c r="L1" s="1105" t="s">
        <v>155</v>
      </c>
      <c r="M1" s="1106"/>
      <c r="N1" s="1105" t="s">
        <v>255</v>
      </c>
      <c r="O1" s="1106"/>
      <c r="P1" s="1105" t="s">
        <v>156</v>
      </c>
      <c r="Q1" s="1106"/>
      <c r="R1" s="1105" t="s">
        <v>157</v>
      </c>
      <c r="S1" s="1106"/>
      <c r="T1" s="1105" t="s">
        <v>158</v>
      </c>
      <c r="U1" s="1106"/>
      <c r="V1" s="1105" t="s">
        <v>159</v>
      </c>
      <c r="W1" s="1106"/>
      <c r="X1" s="1105" t="s">
        <v>160</v>
      </c>
      <c r="Y1" s="1106"/>
      <c r="Z1" s="1105" t="s">
        <v>365</v>
      </c>
      <c r="AA1" s="1106"/>
      <c r="AB1" s="1105" t="s">
        <v>161</v>
      </c>
      <c r="AC1" s="1106"/>
      <c r="AD1" s="1061" t="s">
        <v>162</v>
      </c>
      <c r="AE1" s="1062"/>
      <c r="AF1" s="1105" t="s">
        <v>163</v>
      </c>
      <c r="AG1" s="1106"/>
      <c r="AH1" s="1105" t="s">
        <v>164</v>
      </c>
      <c r="AI1" s="1106"/>
      <c r="AJ1" s="1105" t="s">
        <v>165</v>
      </c>
      <c r="AK1" s="1107"/>
      <c r="AL1" s="1061" t="s">
        <v>166</v>
      </c>
      <c r="AM1" s="1062"/>
      <c r="AN1" s="1107" t="s">
        <v>167</v>
      </c>
      <c r="AO1" s="1107"/>
      <c r="AP1" s="1105" t="s">
        <v>168</v>
      </c>
      <c r="AQ1" s="1106"/>
      <c r="AR1" s="1105" t="s">
        <v>169</v>
      </c>
      <c r="AS1" s="1107"/>
      <c r="AT1" s="1105" t="s">
        <v>170</v>
      </c>
      <c r="AU1" s="1106"/>
      <c r="AV1" s="1155" t="s">
        <v>1</v>
      </c>
      <c r="AW1" s="1156"/>
      <c r="AX1" s="1061" t="s">
        <v>171</v>
      </c>
      <c r="AY1" s="1062"/>
      <c r="AZ1" s="1153" t="s">
        <v>2</v>
      </c>
      <c r="BA1" s="1154"/>
    </row>
    <row r="2" spans="1:53" s="979" customFormat="1" ht="27.75" customHeight="1" thickBot="1">
      <c r="A2" s="978" t="s">
        <v>0</v>
      </c>
      <c r="B2" s="980" t="s">
        <v>357</v>
      </c>
      <c r="C2" s="980" t="s">
        <v>360</v>
      </c>
      <c r="D2" s="980" t="s">
        <v>357</v>
      </c>
      <c r="E2" s="980" t="s">
        <v>360</v>
      </c>
      <c r="F2" s="980" t="s">
        <v>357</v>
      </c>
      <c r="G2" s="980" t="s">
        <v>360</v>
      </c>
      <c r="H2" s="980" t="s">
        <v>357</v>
      </c>
      <c r="I2" s="980" t="s">
        <v>360</v>
      </c>
      <c r="J2" s="980" t="s">
        <v>357</v>
      </c>
      <c r="K2" s="980" t="s">
        <v>360</v>
      </c>
      <c r="L2" s="980" t="s">
        <v>357</v>
      </c>
      <c r="M2" s="980" t="s">
        <v>360</v>
      </c>
      <c r="N2" s="980" t="s">
        <v>357</v>
      </c>
      <c r="O2" s="980" t="s">
        <v>360</v>
      </c>
      <c r="P2" s="980" t="s">
        <v>357</v>
      </c>
      <c r="Q2" s="980" t="s">
        <v>360</v>
      </c>
      <c r="R2" s="980" t="s">
        <v>357</v>
      </c>
      <c r="S2" s="980" t="s">
        <v>360</v>
      </c>
      <c r="T2" s="980" t="s">
        <v>357</v>
      </c>
      <c r="U2" s="980" t="s">
        <v>360</v>
      </c>
      <c r="V2" s="980" t="s">
        <v>357</v>
      </c>
      <c r="W2" s="980" t="s">
        <v>360</v>
      </c>
      <c r="X2" s="980" t="s">
        <v>357</v>
      </c>
      <c r="Y2" s="980" t="s">
        <v>360</v>
      </c>
      <c r="Z2" s="980" t="s">
        <v>357</v>
      </c>
      <c r="AA2" s="980" t="s">
        <v>360</v>
      </c>
      <c r="AB2" s="980" t="s">
        <v>357</v>
      </c>
      <c r="AC2" s="980" t="s">
        <v>360</v>
      </c>
      <c r="AD2" s="980" t="s">
        <v>357</v>
      </c>
      <c r="AE2" s="980" t="s">
        <v>360</v>
      </c>
      <c r="AF2" s="980" t="s">
        <v>357</v>
      </c>
      <c r="AG2" s="980" t="s">
        <v>360</v>
      </c>
      <c r="AH2" s="980" t="s">
        <v>357</v>
      </c>
      <c r="AI2" s="980" t="s">
        <v>360</v>
      </c>
      <c r="AJ2" s="980" t="s">
        <v>357</v>
      </c>
      <c r="AK2" s="1021" t="s">
        <v>360</v>
      </c>
      <c r="AL2" s="981" t="s">
        <v>357</v>
      </c>
      <c r="AM2" s="980" t="s">
        <v>360</v>
      </c>
      <c r="AN2" s="980" t="s">
        <v>357</v>
      </c>
      <c r="AO2" s="980" t="s">
        <v>360</v>
      </c>
      <c r="AP2" s="981" t="s">
        <v>357</v>
      </c>
      <c r="AQ2" s="980" t="s">
        <v>360</v>
      </c>
      <c r="AR2" s="980" t="s">
        <v>357</v>
      </c>
      <c r="AS2" s="980" t="s">
        <v>360</v>
      </c>
      <c r="AT2" s="981" t="s">
        <v>357</v>
      </c>
      <c r="AU2" s="980" t="s">
        <v>360</v>
      </c>
      <c r="AV2" s="980" t="s">
        <v>357</v>
      </c>
      <c r="AW2" s="980" t="s">
        <v>360</v>
      </c>
      <c r="AX2" s="980" t="s">
        <v>357</v>
      </c>
      <c r="AY2" s="980" t="s">
        <v>360</v>
      </c>
      <c r="AZ2" s="981" t="s">
        <v>357</v>
      </c>
      <c r="BA2" s="980" t="s">
        <v>360</v>
      </c>
    </row>
    <row r="3" spans="1:53" ht="14.25">
      <c r="A3" s="897" t="s">
        <v>325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6"/>
      <c r="AK3" s="927"/>
      <c r="AL3" s="1026"/>
      <c r="AM3" s="1027"/>
      <c r="AN3" s="1022"/>
      <c r="AO3" s="959"/>
      <c r="AP3" s="928"/>
      <c r="AQ3" s="926"/>
      <c r="AR3" s="926"/>
      <c r="AS3" s="927"/>
      <c r="AT3" s="967"/>
      <c r="AU3" s="926"/>
      <c r="AV3" s="928"/>
      <c r="AW3" s="926"/>
      <c r="AX3" s="926"/>
      <c r="AY3" s="926"/>
      <c r="AZ3" s="974"/>
      <c r="BA3" s="975"/>
    </row>
    <row r="4" spans="1:53">
      <c r="A4" s="929" t="s">
        <v>326</v>
      </c>
      <c r="B4" s="930"/>
      <c r="C4" s="930"/>
      <c r="D4" s="930"/>
      <c r="E4" s="930"/>
      <c r="F4" s="930" t="s">
        <v>238</v>
      </c>
      <c r="G4" s="930"/>
      <c r="H4" s="930"/>
      <c r="I4" s="930"/>
      <c r="J4" s="930"/>
      <c r="K4" s="930"/>
      <c r="L4" s="930"/>
      <c r="M4" s="930"/>
      <c r="N4" s="930"/>
      <c r="O4" s="930"/>
      <c r="P4" s="930"/>
      <c r="Q4" s="930"/>
      <c r="R4" s="930"/>
      <c r="S4" s="930"/>
      <c r="T4" s="930"/>
      <c r="U4" s="930"/>
      <c r="V4" s="930"/>
      <c r="W4" s="930"/>
      <c r="X4" s="930"/>
      <c r="Y4" s="930"/>
      <c r="Z4" s="930"/>
      <c r="AA4" s="930"/>
      <c r="AB4" s="930"/>
      <c r="AC4" s="930"/>
      <c r="AD4" s="930"/>
      <c r="AE4" s="930"/>
      <c r="AF4" s="930"/>
      <c r="AG4" s="930"/>
      <c r="AH4" s="930"/>
      <c r="AI4" s="930"/>
      <c r="AJ4" s="930"/>
      <c r="AK4" s="931"/>
      <c r="AL4" s="1028"/>
      <c r="AM4" s="1029"/>
      <c r="AN4" s="1023"/>
      <c r="AO4" s="960"/>
      <c r="AP4" s="259"/>
      <c r="AQ4" s="930"/>
      <c r="AR4" s="930"/>
      <c r="AS4" s="931"/>
      <c r="AT4" s="968"/>
      <c r="AU4" s="930"/>
      <c r="AV4" s="259"/>
      <c r="AW4" s="930"/>
      <c r="AX4" s="930"/>
      <c r="AY4" s="930"/>
      <c r="AZ4" s="976"/>
      <c r="BA4" s="975"/>
    </row>
    <row r="5" spans="1:53">
      <c r="A5" s="67" t="s">
        <v>327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930"/>
      <c r="AK5" s="931"/>
      <c r="AL5" s="1028"/>
      <c r="AM5" s="1029"/>
      <c r="AN5" s="1023"/>
      <c r="AO5" s="960"/>
      <c r="AP5" s="259"/>
      <c r="AQ5" s="930"/>
      <c r="AR5" s="930"/>
      <c r="AS5" s="931"/>
      <c r="AT5" s="968"/>
      <c r="AU5" s="930"/>
      <c r="AV5" s="259"/>
      <c r="AW5" s="930"/>
      <c r="AX5" s="930"/>
      <c r="AY5" s="930"/>
      <c r="AZ5" s="976"/>
      <c r="BA5" s="975"/>
    </row>
    <row r="6" spans="1:53">
      <c r="A6" s="67" t="s">
        <v>328</v>
      </c>
      <c r="B6" s="930"/>
      <c r="C6" s="930"/>
      <c r="D6" s="930"/>
      <c r="E6" s="930"/>
      <c r="F6" s="930"/>
      <c r="G6" s="930"/>
      <c r="H6" s="930"/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0"/>
      <c r="V6" s="930"/>
      <c r="W6" s="930"/>
      <c r="X6" s="930"/>
      <c r="Y6" s="930"/>
      <c r="Z6" s="930"/>
      <c r="AA6" s="930"/>
      <c r="AB6" s="930"/>
      <c r="AC6" s="930"/>
      <c r="AD6" s="930"/>
      <c r="AE6" s="930"/>
      <c r="AF6" s="930"/>
      <c r="AG6" s="930"/>
      <c r="AH6" s="930"/>
      <c r="AI6" s="930"/>
      <c r="AJ6" s="930"/>
      <c r="AK6" s="931"/>
      <c r="AL6" s="1028"/>
      <c r="AM6" s="1029"/>
      <c r="AN6" s="1023"/>
      <c r="AO6" s="960"/>
      <c r="AP6" s="259"/>
      <c r="AQ6" s="930"/>
      <c r="AR6" s="930"/>
      <c r="AS6" s="931"/>
      <c r="AT6" s="968"/>
      <c r="AU6" s="930"/>
      <c r="AV6" s="259">
        <f t="shared" ref="AV6:AV42" si="0">SUM(B6:AT6)</f>
        <v>0</v>
      </c>
      <c r="AW6" s="930"/>
      <c r="AX6" s="930"/>
      <c r="AY6" s="930"/>
      <c r="AZ6" s="968">
        <f>AV6+AX6</f>
        <v>0</v>
      </c>
      <c r="BA6" s="975"/>
    </row>
    <row r="7" spans="1:53">
      <c r="A7" s="67" t="s">
        <v>329</v>
      </c>
      <c r="B7" s="930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>
        <v>1076.01</v>
      </c>
      <c r="AC7" s="930">
        <v>1837.35</v>
      </c>
      <c r="AD7" s="930">
        <v>4398.18</v>
      </c>
      <c r="AE7" s="930"/>
      <c r="AF7" s="930"/>
      <c r="AG7" s="930"/>
      <c r="AH7" s="930"/>
      <c r="AI7" s="930"/>
      <c r="AJ7" s="930"/>
      <c r="AK7" s="931"/>
      <c r="AL7" s="1028"/>
      <c r="AM7" s="1029"/>
      <c r="AN7" s="1023"/>
      <c r="AO7" s="960"/>
      <c r="AP7" s="259"/>
      <c r="AQ7" s="930"/>
      <c r="AR7" s="930"/>
      <c r="AS7" s="931"/>
      <c r="AT7" s="968"/>
      <c r="AU7" s="930"/>
      <c r="AV7" s="259">
        <f t="shared" si="0"/>
        <v>7311.54</v>
      </c>
      <c r="AW7" s="930"/>
      <c r="AX7" s="930"/>
      <c r="AY7" s="930"/>
      <c r="AZ7" s="968">
        <f t="shared" ref="AZ7:AZ42" si="1">AV7+AX7</f>
        <v>7311.54</v>
      </c>
      <c r="BA7" s="975"/>
    </row>
    <row r="8" spans="1:53">
      <c r="A8" s="67" t="s">
        <v>330</v>
      </c>
      <c r="B8" s="930"/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0"/>
      <c r="S8" s="930"/>
      <c r="T8" s="930"/>
      <c r="U8" s="930"/>
      <c r="V8" s="930"/>
      <c r="W8" s="930"/>
      <c r="X8" s="930"/>
      <c r="Y8" s="930"/>
      <c r="Z8" s="930"/>
      <c r="AA8" s="930"/>
      <c r="AB8" s="930"/>
      <c r="AC8" s="930"/>
      <c r="AD8" s="930"/>
      <c r="AE8" s="930"/>
      <c r="AF8" s="930"/>
      <c r="AG8" s="930"/>
      <c r="AH8" s="930"/>
      <c r="AI8" s="930"/>
      <c r="AJ8" s="930"/>
      <c r="AK8" s="931"/>
      <c r="AL8" s="1028"/>
      <c r="AM8" s="1029"/>
      <c r="AN8" s="1023"/>
      <c r="AO8" s="960"/>
      <c r="AP8" s="259"/>
      <c r="AQ8" s="930"/>
      <c r="AR8" s="930"/>
      <c r="AS8" s="931"/>
      <c r="AT8" s="968"/>
      <c r="AU8" s="930"/>
      <c r="AV8" s="259">
        <f t="shared" si="0"/>
        <v>0</v>
      </c>
      <c r="AW8" s="930"/>
      <c r="AX8" s="930"/>
      <c r="AY8" s="930"/>
      <c r="AZ8" s="968">
        <f t="shared" si="1"/>
        <v>0</v>
      </c>
      <c r="BA8" s="975"/>
    </row>
    <row r="9" spans="1:53">
      <c r="A9" s="67" t="s">
        <v>331</v>
      </c>
      <c r="B9" s="930">
        <v>18649</v>
      </c>
      <c r="C9" s="930">
        <v>25688</v>
      </c>
      <c r="D9" s="930">
        <v>220.33</v>
      </c>
      <c r="E9" s="930">
        <v>254</v>
      </c>
      <c r="F9" s="930"/>
      <c r="G9" s="930"/>
      <c r="H9" s="930">
        <v>44461.73</v>
      </c>
      <c r="I9" s="930">
        <v>49525</v>
      </c>
      <c r="J9" s="930">
        <v>2117.35</v>
      </c>
      <c r="K9" s="930">
        <v>2882</v>
      </c>
      <c r="L9" s="930">
        <v>180.8</v>
      </c>
      <c r="M9" s="930">
        <v>532</v>
      </c>
      <c r="N9" s="930">
        <v>4852.47</v>
      </c>
      <c r="O9" s="930">
        <v>7611</v>
      </c>
      <c r="P9" s="930">
        <v>1229</v>
      </c>
      <c r="Q9" s="930">
        <v>1743</v>
      </c>
      <c r="R9" s="930">
        <v>49078</v>
      </c>
      <c r="S9" s="930">
        <v>57774</v>
      </c>
      <c r="T9" s="930">
        <v>2054</v>
      </c>
      <c r="U9" s="930">
        <v>3208</v>
      </c>
      <c r="V9" s="930">
        <v>32466</v>
      </c>
      <c r="W9" s="930">
        <v>53931</v>
      </c>
      <c r="X9" s="930">
        <v>54038</v>
      </c>
      <c r="Y9" s="930">
        <v>78572</v>
      </c>
      <c r="Z9" s="930">
        <v>789.47</v>
      </c>
      <c r="AA9" s="930">
        <v>1142</v>
      </c>
      <c r="AB9" s="930"/>
      <c r="AC9" s="930"/>
      <c r="AD9" s="930">
        <v>4998.5200000000004</v>
      </c>
      <c r="AE9" s="930">
        <v>7254</v>
      </c>
      <c r="AF9" s="930">
        <v>47424.33</v>
      </c>
      <c r="AG9" s="930">
        <v>59685</v>
      </c>
      <c r="AH9" s="930">
        <v>6599.75</v>
      </c>
      <c r="AI9" s="930">
        <v>11792</v>
      </c>
      <c r="AJ9" s="930">
        <v>5510.58</v>
      </c>
      <c r="AK9" s="931">
        <v>7080</v>
      </c>
      <c r="AL9" s="1028"/>
      <c r="AM9" s="1029"/>
      <c r="AN9" s="1023">
        <v>8960.09</v>
      </c>
      <c r="AO9" s="960">
        <v>13580</v>
      </c>
      <c r="AP9" s="259">
        <v>5139.74</v>
      </c>
      <c r="AQ9" s="930">
        <v>7489</v>
      </c>
      <c r="AR9" s="930">
        <v>1107.08</v>
      </c>
      <c r="AS9" s="931">
        <v>1506</v>
      </c>
      <c r="AT9" s="968">
        <v>45576.32</v>
      </c>
      <c r="AU9" s="930">
        <v>49070</v>
      </c>
      <c r="AV9" s="259">
        <f>SUM(B9:AU9)</f>
        <v>775770.55999999982</v>
      </c>
      <c r="AW9" s="930"/>
      <c r="AX9" s="930"/>
      <c r="AY9" s="930"/>
      <c r="AZ9" s="968">
        <f t="shared" si="1"/>
        <v>775770.55999999982</v>
      </c>
      <c r="BA9" s="975"/>
    </row>
    <row r="10" spans="1:53">
      <c r="A10" s="67" t="s">
        <v>332</v>
      </c>
      <c r="B10" s="930"/>
      <c r="C10" s="930"/>
      <c r="D10" s="932"/>
      <c r="E10" s="932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>
        <v>35</v>
      </c>
      <c r="Q10" s="930">
        <v>50</v>
      </c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0"/>
      <c r="AK10" s="931"/>
      <c r="AL10" s="1028"/>
      <c r="AM10" s="1029"/>
      <c r="AN10" s="1023">
        <v>23447.5</v>
      </c>
      <c r="AO10" s="960">
        <v>20252</v>
      </c>
      <c r="AP10" s="259"/>
      <c r="AQ10" s="930"/>
      <c r="AR10" s="930"/>
      <c r="AS10" s="931"/>
      <c r="AT10" s="968"/>
      <c r="AU10" s="930"/>
      <c r="AV10" s="259">
        <f t="shared" si="0"/>
        <v>43784.5</v>
      </c>
      <c r="AW10" s="930"/>
      <c r="AX10" s="930"/>
      <c r="AY10" s="930"/>
      <c r="AZ10" s="968">
        <f t="shared" si="1"/>
        <v>43784.5</v>
      </c>
      <c r="BA10" s="975"/>
    </row>
    <row r="11" spans="1:53">
      <c r="A11" s="929" t="s">
        <v>333</v>
      </c>
      <c r="B11" s="930"/>
      <c r="C11" s="930"/>
      <c r="D11" s="930">
        <v>6747.04</v>
      </c>
      <c r="E11" s="930">
        <v>6941</v>
      </c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>
        <v>13</v>
      </c>
      <c r="S11" s="930">
        <v>42</v>
      </c>
      <c r="T11" s="930">
        <v>14</v>
      </c>
      <c r="U11" s="930">
        <v>1</v>
      </c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0"/>
      <c r="AI11" s="930"/>
      <c r="AJ11" s="930"/>
      <c r="AK11" s="931"/>
      <c r="AL11" s="1028"/>
      <c r="AM11" s="1029"/>
      <c r="AN11" s="1023"/>
      <c r="AO11" s="960"/>
      <c r="AP11" s="259"/>
      <c r="AQ11" s="930"/>
      <c r="AR11" s="930"/>
      <c r="AS11" s="931"/>
      <c r="AT11" s="968"/>
      <c r="AU11" s="930"/>
      <c r="AV11" s="259">
        <f t="shared" si="0"/>
        <v>13758.04</v>
      </c>
      <c r="AW11" s="930"/>
      <c r="AX11" s="930"/>
      <c r="AY11" s="930"/>
      <c r="AZ11" s="968">
        <f t="shared" si="1"/>
        <v>13758.04</v>
      </c>
      <c r="BA11" s="975"/>
    </row>
    <row r="12" spans="1:53">
      <c r="A12" s="929" t="s">
        <v>334</v>
      </c>
      <c r="B12" s="930"/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  <c r="N12" s="930"/>
      <c r="O12" s="930"/>
      <c r="P12" s="930">
        <v>12</v>
      </c>
      <c r="Q12" s="930">
        <v>-11</v>
      </c>
      <c r="R12" s="930"/>
      <c r="S12" s="930"/>
      <c r="T12" s="930"/>
      <c r="U12" s="930"/>
      <c r="V12" s="930"/>
      <c r="W12" s="930"/>
      <c r="X12" s="930"/>
      <c r="Y12" s="930"/>
      <c r="Z12" s="930"/>
      <c r="AA12" s="930"/>
      <c r="AB12" s="930"/>
      <c r="AC12" s="930"/>
      <c r="AD12" s="930"/>
      <c r="AE12" s="930"/>
      <c r="AF12" s="930"/>
      <c r="AG12" s="930"/>
      <c r="AH12" s="930"/>
      <c r="AI12" s="930"/>
      <c r="AJ12" s="930"/>
      <c r="AK12" s="931"/>
      <c r="AL12" s="1028"/>
      <c r="AM12" s="1029"/>
      <c r="AN12" s="1023"/>
      <c r="AO12" s="960"/>
      <c r="AP12" s="259"/>
      <c r="AQ12" s="930"/>
      <c r="AR12" s="930"/>
      <c r="AS12" s="931"/>
      <c r="AT12" s="968"/>
      <c r="AU12" s="930"/>
      <c r="AV12" s="259">
        <f t="shared" si="0"/>
        <v>1</v>
      </c>
      <c r="AW12" s="930"/>
      <c r="AX12" s="930"/>
      <c r="AY12" s="930"/>
      <c r="AZ12" s="968"/>
      <c r="BA12" s="975"/>
    </row>
    <row r="13" spans="1:53" ht="14.25">
      <c r="A13" s="905" t="s">
        <v>54</v>
      </c>
      <c r="B13" s="930">
        <f>B9</f>
        <v>18649</v>
      </c>
      <c r="C13" s="930">
        <f>C9</f>
        <v>25688</v>
      </c>
      <c r="D13" s="932">
        <f>D9+D11</f>
        <v>6967.37</v>
      </c>
      <c r="E13" s="932">
        <v>7195</v>
      </c>
      <c r="F13" s="930"/>
      <c r="G13" s="930"/>
      <c r="H13" s="930">
        <f>H9</f>
        <v>44461.73</v>
      </c>
      <c r="I13" s="930">
        <f>I9</f>
        <v>49525</v>
      </c>
      <c r="J13" s="930">
        <f>J9</f>
        <v>2117.35</v>
      </c>
      <c r="K13" s="930">
        <f>K9</f>
        <v>2882</v>
      </c>
      <c r="L13" s="930">
        <f t="shared" ref="L13:AD13" si="2">SUM(L5:L11)</f>
        <v>180.8</v>
      </c>
      <c r="M13" s="930">
        <f>M9</f>
        <v>532</v>
      </c>
      <c r="N13" s="930">
        <f t="shared" si="2"/>
        <v>4852.47</v>
      </c>
      <c r="O13" s="930">
        <f>O9</f>
        <v>7611</v>
      </c>
      <c r="P13" s="930">
        <v>1253</v>
      </c>
      <c r="Q13" s="930">
        <v>1782</v>
      </c>
      <c r="R13" s="930">
        <f t="shared" si="2"/>
        <v>49091</v>
      </c>
      <c r="S13" s="930">
        <v>57816</v>
      </c>
      <c r="T13" s="930">
        <v>2068</v>
      </c>
      <c r="U13" s="930">
        <v>3209</v>
      </c>
      <c r="V13" s="930">
        <f t="shared" si="2"/>
        <v>32466</v>
      </c>
      <c r="W13" s="930">
        <f>W9</f>
        <v>53931</v>
      </c>
      <c r="X13" s="930">
        <f t="shared" si="2"/>
        <v>54038</v>
      </c>
      <c r="Y13" s="930">
        <v>78572</v>
      </c>
      <c r="Z13" s="930">
        <f t="shared" si="2"/>
        <v>789.47</v>
      </c>
      <c r="AA13" s="930">
        <f>AA9</f>
        <v>1142</v>
      </c>
      <c r="AB13" s="930">
        <f t="shared" si="2"/>
        <v>1076.01</v>
      </c>
      <c r="AC13" s="930">
        <f>AC7</f>
        <v>1837.35</v>
      </c>
      <c r="AD13" s="930">
        <f t="shared" si="2"/>
        <v>9396.7000000000007</v>
      </c>
      <c r="AE13" s="930">
        <f>AE9</f>
        <v>7254</v>
      </c>
      <c r="AF13" s="930">
        <f>AF9</f>
        <v>47424.33</v>
      </c>
      <c r="AG13" s="930">
        <v>59685</v>
      </c>
      <c r="AH13" s="930">
        <f>AH9</f>
        <v>6599.75</v>
      </c>
      <c r="AI13" s="930">
        <f>AI9</f>
        <v>11792</v>
      </c>
      <c r="AJ13" s="930">
        <f>SUM(AJ5:AJ11)</f>
        <v>5510.58</v>
      </c>
      <c r="AK13" s="931">
        <f>AK9</f>
        <v>7080</v>
      </c>
      <c r="AL13" s="1028"/>
      <c r="AM13" s="1029"/>
      <c r="AN13" s="1023">
        <f>SUM(AN5:AN11)</f>
        <v>32407.59</v>
      </c>
      <c r="AO13" s="960">
        <v>33832</v>
      </c>
      <c r="AP13" s="259">
        <f>SUM(AP5:AP11)</f>
        <v>5139.74</v>
      </c>
      <c r="AQ13" s="930">
        <f>AQ9</f>
        <v>7489</v>
      </c>
      <c r="AR13" s="930">
        <f>SUM(AR5:AR11)</f>
        <v>1107.08</v>
      </c>
      <c r="AS13" s="931">
        <f>AS9</f>
        <v>1506</v>
      </c>
      <c r="AT13" s="968">
        <f>AT9</f>
        <v>45576.32</v>
      </c>
      <c r="AU13" s="930">
        <f>AU9</f>
        <v>49070</v>
      </c>
      <c r="AV13" s="259">
        <f t="shared" si="0"/>
        <v>791532.63999999978</v>
      </c>
      <c r="AW13" s="930"/>
      <c r="AX13" s="930"/>
      <c r="AY13" s="930"/>
      <c r="AZ13" s="968">
        <f t="shared" si="1"/>
        <v>791532.63999999978</v>
      </c>
      <c r="BA13" s="975"/>
    </row>
    <row r="14" spans="1:53" ht="14.25">
      <c r="A14" s="905" t="s">
        <v>335</v>
      </c>
      <c r="B14" s="930"/>
      <c r="C14" s="930"/>
      <c r="D14" s="930"/>
      <c r="E14" s="930"/>
      <c r="F14" s="930"/>
      <c r="G14" s="930"/>
      <c r="H14" s="930"/>
      <c r="I14" s="930"/>
      <c r="J14" s="930"/>
      <c r="K14" s="930"/>
      <c r="L14" s="930"/>
      <c r="M14" s="930"/>
      <c r="N14" s="930"/>
      <c r="O14" s="930"/>
      <c r="P14" s="930"/>
      <c r="Q14" s="930"/>
      <c r="R14" s="930"/>
      <c r="S14" s="930"/>
      <c r="T14" s="930"/>
      <c r="U14" s="930"/>
      <c r="V14" s="930"/>
      <c r="W14" s="930"/>
      <c r="X14" s="930"/>
      <c r="Y14" s="930"/>
      <c r="Z14" s="930"/>
      <c r="AA14" s="930"/>
      <c r="AB14" s="930"/>
      <c r="AC14" s="930"/>
      <c r="AD14" s="930"/>
      <c r="AE14" s="930"/>
      <c r="AF14" s="930"/>
      <c r="AG14" s="930"/>
      <c r="AH14" s="930"/>
      <c r="AI14" s="930"/>
      <c r="AJ14" s="930"/>
      <c r="AK14" s="931"/>
      <c r="AL14" s="1028"/>
      <c r="AM14" s="1029"/>
      <c r="AN14" s="1023"/>
      <c r="AO14" s="960"/>
      <c r="AP14" s="259"/>
      <c r="AQ14" s="930"/>
      <c r="AR14" s="930"/>
      <c r="AS14" s="931"/>
      <c r="AT14" s="968"/>
      <c r="AU14" s="930"/>
      <c r="AV14" s="259">
        <f t="shared" si="0"/>
        <v>0</v>
      </c>
      <c r="AW14" s="930"/>
      <c r="AX14" s="930"/>
      <c r="AY14" s="930"/>
      <c r="AZ14" s="968">
        <f t="shared" si="1"/>
        <v>0</v>
      </c>
      <c r="BA14" s="975"/>
    </row>
    <row r="15" spans="1:53">
      <c r="A15" s="67" t="s">
        <v>336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028"/>
      <c r="AM15" s="1029"/>
      <c r="AN15" s="1023"/>
      <c r="AO15" s="960"/>
      <c r="AP15" s="259"/>
      <c r="AQ15" s="930"/>
      <c r="AR15" s="930"/>
      <c r="AS15" s="931"/>
      <c r="AT15" s="968"/>
      <c r="AU15" s="930"/>
      <c r="AV15" s="259">
        <f t="shared" si="0"/>
        <v>0</v>
      </c>
      <c r="AW15" s="930"/>
      <c r="AX15" s="930"/>
      <c r="AY15" s="930"/>
      <c r="AZ15" s="968">
        <f t="shared" si="1"/>
        <v>0</v>
      </c>
      <c r="BA15" s="975"/>
    </row>
    <row r="16" spans="1:53">
      <c r="A16" s="67" t="s">
        <v>337</v>
      </c>
      <c r="B16" s="930"/>
      <c r="C16" s="930"/>
      <c r="D16" s="932"/>
      <c r="E16" s="932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0"/>
      <c r="S16" s="930"/>
      <c r="T16" s="930"/>
      <c r="U16" s="930"/>
      <c r="V16" s="930"/>
      <c r="W16" s="930"/>
      <c r="X16" s="930"/>
      <c r="Y16" s="930"/>
      <c r="Z16" s="930"/>
      <c r="AA16" s="930"/>
      <c r="AB16" s="930"/>
      <c r="AC16" s="930"/>
      <c r="AD16" s="930"/>
      <c r="AE16" s="930"/>
      <c r="AF16" s="930"/>
      <c r="AG16" s="930"/>
      <c r="AH16" s="930"/>
      <c r="AI16" s="930"/>
      <c r="AJ16" s="930"/>
      <c r="AK16" s="931"/>
      <c r="AL16" s="1028"/>
      <c r="AM16" s="1029"/>
      <c r="AN16" s="1023">
        <v>23447.5</v>
      </c>
      <c r="AO16" s="960">
        <v>20252</v>
      </c>
      <c r="AP16" s="259"/>
      <c r="AQ16" s="930"/>
      <c r="AR16" s="930"/>
      <c r="AS16" s="931"/>
      <c r="AT16" s="968"/>
      <c r="AU16" s="930"/>
      <c r="AV16" s="259">
        <f t="shared" si="0"/>
        <v>43699.5</v>
      </c>
      <c r="AW16" s="930"/>
      <c r="AX16" s="930"/>
      <c r="AY16" s="930"/>
      <c r="AZ16" s="968">
        <f t="shared" si="1"/>
        <v>43699.5</v>
      </c>
      <c r="BA16" s="975"/>
    </row>
    <row r="17" spans="1:53">
      <c r="A17" s="67" t="s">
        <v>338</v>
      </c>
      <c r="B17" s="930"/>
      <c r="C17" s="930"/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0"/>
      <c r="AI17" s="930"/>
      <c r="AJ17" s="930"/>
      <c r="AK17" s="931"/>
      <c r="AL17" s="1028"/>
      <c r="AM17" s="1029"/>
      <c r="AN17" s="1023"/>
      <c r="AO17" s="960"/>
      <c r="AP17" s="259"/>
      <c r="AQ17" s="930"/>
      <c r="AR17" s="930"/>
      <c r="AS17" s="931"/>
      <c r="AT17" s="968"/>
      <c r="AU17" s="930"/>
      <c r="AV17" s="259">
        <f t="shared" si="0"/>
        <v>0</v>
      </c>
      <c r="AW17" s="930"/>
      <c r="AX17" s="930"/>
      <c r="AY17" s="930"/>
      <c r="AZ17" s="968">
        <f t="shared" si="1"/>
        <v>0</v>
      </c>
      <c r="BA17" s="975"/>
    </row>
    <row r="18" spans="1:53">
      <c r="A18" s="67" t="s">
        <v>339</v>
      </c>
      <c r="B18" s="930"/>
      <c r="C18" s="93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930"/>
      <c r="O18" s="930"/>
      <c r="P18" s="930"/>
      <c r="Q18" s="930"/>
      <c r="R18" s="930"/>
      <c r="S18" s="930"/>
      <c r="T18" s="930"/>
      <c r="U18" s="930"/>
      <c r="V18" s="930"/>
      <c r="W18" s="930"/>
      <c r="X18" s="930"/>
      <c r="Y18" s="930"/>
      <c r="Z18" s="930"/>
      <c r="AA18" s="930"/>
      <c r="AB18" s="930"/>
      <c r="AC18" s="930"/>
      <c r="AD18" s="930"/>
      <c r="AE18" s="930"/>
      <c r="AF18" s="930"/>
      <c r="AG18" s="930"/>
      <c r="AH18" s="930"/>
      <c r="AI18" s="930"/>
      <c r="AJ18" s="930"/>
      <c r="AK18" s="931"/>
      <c r="AL18" s="1028"/>
      <c r="AM18" s="1029"/>
      <c r="AN18" s="1023"/>
      <c r="AO18" s="960"/>
      <c r="AP18" s="259"/>
      <c r="AQ18" s="930"/>
      <c r="AR18" s="930"/>
      <c r="AS18" s="931"/>
      <c r="AT18" s="968"/>
      <c r="AU18" s="930"/>
      <c r="AV18" s="259">
        <f t="shared" si="0"/>
        <v>0</v>
      </c>
      <c r="AW18" s="930"/>
      <c r="AX18" s="930"/>
      <c r="AY18" s="930"/>
      <c r="AZ18" s="968">
        <f t="shared" si="1"/>
        <v>0</v>
      </c>
      <c r="BA18" s="975"/>
    </row>
    <row r="19" spans="1:53">
      <c r="A19" s="67" t="s">
        <v>340</v>
      </c>
      <c r="B19" s="930">
        <f>B9</f>
        <v>18649</v>
      </c>
      <c r="C19" s="930">
        <v>25688</v>
      </c>
      <c r="D19" s="930">
        <v>220.33</v>
      </c>
      <c r="E19" s="930">
        <v>254</v>
      </c>
      <c r="F19" s="930"/>
      <c r="G19" s="930"/>
      <c r="H19" s="930">
        <f>H9</f>
        <v>44461.73</v>
      </c>
      <c r="I19" s="930">
        <f>I9</f>
        <v>49525</v>
      </c>
      <c r="J19" s="930">
        <f>J9</f>
        <v>2117.35</v>
      </c>
      <c r="K19" s="930">
        <f>K9</f>
        <v>2882</v>
      </c>
      <c r="L19" s="930">
        <v>180.8</v>
      </c>
      <c r="M19" s="930">
        <f>M9</f>
        <v>532</v>
      </c>
      <c r="N19" s="930">
        <v>4852.47</v>
      </c>
      <c r="O19" s="930">
        <f>O9</f>
        <v>7611</v>
      </c>
      <c r="P19" s="930">
        <v>1229</v>
      </c>
      <c r="Q19" s="930">
        <v>1743</v>
      </c>
      <c r="R19" s="930">
        <v>49078</v>
      </c>
      <c r="S19" s="930">
        <v>57774</v>
      </c>
      <c r="T19" s="930">
        <v>2054</v>
      </c>
      <c r="U19" s="930">
        <v>3208</v>
      </c>
      <c r="V19" s="930">
        <v>32466</v>
      </c>
      <c r="W19" s="930">
        <f>W9</f>
        <v>53931</v>
      </c>
      <c r="X19" s="930">
        <f>X13</f>
        <v>54038</v>
      </c>
      <c r="Y19" s="930">
        <v>78572</v>
      </c>
      <c r="Z19" s="930">
        <f>Z13</f>
        <v>789.47</v>
      </c>
      <c r="AA19" s="930">
        <f>AA9</f>
        <v>1142</v>
      </c>
      <c r="AB19" s="930">
        <f>AB13</f>
        <v>1076.01</v>
      </c>
      <c r="AC19" s="930">
        <f>AC7</f>
        <v>1837.35</v>
      </c>
      <c r="AD19" s="930">
        <v>4398.18</v>
      </c>
      <c r="AE19" s="930">
        <f>AE9</f>
        <v>7254</v>
      </c>
      <c r="AF19" s="930">
        <f>AF13</f>
        <v>47424.33</v>
      </c>
      <c r="AG19" s="930">
        <f>AG9</f>
        <v>59685</v>
      </c>
      <c r="AH19" s="930">
        <f>AH9</f>
        <v>6599.75</v>
      </c>
      <c r="AI19" s="930">
        <f>AI9</f>
        <v>11792</v>
      </c>
      <c r="AJ19" s="930">
        <f>AJ13</f>
        <v>5510.58</v>
      </c>
      <c r="AK19" s="931">
        <f>AK9</f>
        <v>7080</v>
      </c>
      <c r="AL19" s="1028"/>
      <c r="AM19" s="1029"/>
      <c r="AN19" s="1023">
        <v>8960.09</v>
      </c>
      <c r="AO19" s="960">
        <v>13850</v>
      </c>
      <c r="AP19" s="259">
        <v>513974</v>
      </c>
      <c r="AQ19" s="930">
        <f>AQ9</f>
        <v>7489</v>
      </c>
      <c r="AR19" s="930">
        <f>AR13</f>
        <v>1107.08</v>
      </c>
      <c r="AS19" s="931">
        <f>AS9</f>
        <v>1506</v>
      </c>
      <c r="AT19" s="968">
        <f>AT9</f>
        <v>45576.32</v>
      </c>
      <c r="AU19" s="930">
        <f>AU9</f>
        <v>49070</v>
      </c>
      <c r="AV19" s="259">
        <f t="shared" si="0"/>
        <v>1238117.8400000001</v>
      </c>
      <c r="AW19" s="930"/>
      <c r="AX19" s="930"/>
      <c r="AY19" s="930"/>
      <c r="AZ19" s="968">
        <f t="shared" si="1"/>
        <v>1238117.8400000001</v>
      </c>
      <c r="BA19" s="975"/>
    </row>
    <row r="20" spans="1:53">
      <c r="A20" s="67" t="s">
        <v>341</v>
      </c>
      <c r="B20" s="930"/>
      <c r="C20" s="930"/>
      <c r="D20" s="930">
        <v>6747.04</v>
      </c>
      <c r="E20" s="930">
        <v>6941</v>
      </c>
      <c r="F20" s="930"/>
      <c r="G20" s="930"/>
      <c r="H20" s="930"/>
      <c r="I20" s="930"/>
      <c r="J20" s="930"/>
      <c r="K20" s="930"/>
      <c r="L20" s="930"/>
      <c r="M20" s="930"/>
      <c r="N20" s="930"/>
      <c r="O20" s="930"/>
      <c r="P20" s="930">
        <v>35</v>
      </c>
      <c r="Q20" s="930">
        <v>50</v>
      </c>
      <c r="R20" s="930">
        <v>13</v>
      </c>
      <c r="S20" s="930">
        <v>42</v>
      </c>
      <c r="T20" s="930">
        <v>14</v>
      </c>
      <c r="U20" s="930">
        <v>1</v>
      </c>
      <c r="V20" s="930"/>
      <c r="W20" s="930"/>
      <c r="X20" s="930"/>
      <c r="Y20" s="930"/>
      <c r="Z20" s="930"/>
      <c r="AA20" s="930"/>
      <c r="AB20" s="930"/>
      <c r="AC20" s="930"/>
      <c r="AD20" s="930">
        <v>4998.5200000000004</v>
      </c>
      <c r="AE20" s="930"/>
      <c r="AF20" s="930"/>
      <c r="AG20" s="930"/>
      <c r="AH20" s="930"/>
      <c r="AI20" s="930"/>
      <c r="AJ20" s="930"/>
      <c r="AK20" s="931"/>
      <c r="AL20" s="1028"/>
      <c r="AM20" s="1029"/>
      <c r="AN20" s="1023"/>
      <c r="AO20" s="960"/>
      <c r="AP20" s="259"/>
      <c r="AQ20" s="930"/>
      <c r="AR20" s="930"/>
      <c r="AS20" s="931"/>
      <c r="AT20" s="968"/>
      <c r="AU20" s="930"/>
      <c r="AV20" s="259">
        <f t="shared" si="0"/>
        <v>18841.560000000001</v>
      </c>
      <c r="AW20" s="930"/>
      <c r="AX20" s="930"/>
      <c r="AY20" s="930"/>
      <c r="AZ20" s="968">
        <f t="shared" si="1"/>
        <v>18841.560000000001</v>
      </c>
      <c r="BA20" s="975"/>
    </row>
    <row r="21" spans="1:53">
      <c r="A21" s="929" t="s">
        <v>334</v>
      </c>
      <c r="B21" s="930"/>
      <c r="C21" s="930"/>
      <c r="D21" s="930"/>
      <c r="E21" s="930"/>
      <c r="F21" s="930"/>
      <c r="G21" s="930"/>
      <c r="H21" s="930"/>
      <c r="I21" s="930"/>
      <c r="J21" s="930"/>
      <c r="K21" s="930"/>
      <c r="L21" s="930"/>
      <c r="M21" s="930"/>
      <c r="N21" s="930"/>
      <c r="O21" s="930"/>
      <c r="P21" s="930">
        <v>-12</v>
      </c>
      <c r="Q21" s="930">
        <v>-11</v>
      </c>
      <c r="R21" s="930"/>
      <c r="S21" s="930"/>
      <c r="T21" s="930"/>
      <c r="U21" s="930"/>
      <c r="V21" s="930"/>
      <c r="W21" s="930"/>
      <c r="X21" s="930"/>
      <c r="Y21" s="930"/>
      <c r="Z21" s="930"/>
      <c r="AA21" s="930"/>
      <c r="AB21" s="930"/>
      <c r="AC21" s="930"/>
      <c r="AD21" s="930"/>
      <c r="AE21" s="930"/>
      <c r="AF21" s="930"/>
      <c r="AG21" s="930"/>
      <c r="AH21" s="930"/>
      <c r="AI21" s="930"/>
      <c r="AJ21" s="930"/>
      <c r="AK21" s="931"/>
      <c r="AL21" s="1028"/>
      <c r="AM21" s="1029"/>
      <c r="AN21" s="1023"/>
      <c r="AO21" s="960"/>
      <c r="AP21" s="259"/>
      <c r="AQ21" s="930"/>
      <c r="AR21" s="930"/>
      <c r="AS21" s="931"/>
      <c r="AT21" s="968"/>
      <c r="AU21" s="930"/>
      <c r="AV21" s="259">
        <f t="shared" si="0"/>
        <v>-23</v>
      </c>
      <c r="AW21" s="930"/>
      <c r="AX21" s="930"/>
      <c r="AY21" s="930"/>
      <c r="AZ21" s="968"/>
      <c r="BA21" s="975"/>
    </row>
    <row r="22" spans="1:53" ht="14.25">
      <c r="A22" s="905" t="s">
        <v>54</v>
      </c>
      <c r="B22" s="930">
        <f>B9</f>
        <v>18649</v>
      </c>
      <c r="C22" s="930">
        <f>C19</f>
        <v>25688</v>
      </c>
      <c r="D22" s="932">
        <f>D19+D20</f>
        <v>6967.37</v>
      </c>
      <c r="E22" s="932">
        <v>7195</v>
      </c>
      <c r="F22" s="930"/>
      <c r="G22" s="930"/>
      <c r="H22" s="930">
        <f>H19</f>
        <v>44461.73</v>
      </c>
      <c r="I22" s="930">
        <f>I9</f>
        <v>49525</v>
      </c>
      <c r="J22" s="930">
        <f>J9</f>
        <v>2117.35</v>
      </c>
      <c r="K22" s="930">
        <f>K9</f>
        <v>2882</v>
      </c>
      <c r="L22" s="930">
        <f>L9</f>
        <v>180.8</v>
      </c>
      <c r="M22" s="930">
        <f>M9</f>
        <v>532</v>
      </c>
      <c r="N22" s="930">
        <f>N19</f>
        <v>4852.47</v>
      </c>
      <c r="O22" s="930">
        <f>O19</f>
        <v>7611</v>
      </c>
      <c r="P22" s="930">
        <v>1253</v>
      </c>
      <c r="Q22" s="930">
        <v>1781</v>
      </c>
      <c r="R22" s="930">
        <f>R13</f>
        <v>49091</v>
      </c>
      <c r="S22" s="930">
        <v>57816</v>
      </c>
      <c r="T22" s="930">
        <f>T13</f>
        <v>2068</v>
      </c>
      <c r="U22" s="930">
        <v>3209</v>
      </c>
      <c r="V22" s="930">
        <f>V13</f>
        <v>32466</v>
      </c>
      <c r="W22" s="930">
        <f>W9</f>
        <v>53931</v>
      </c>
      <c r="X22" s="930">
        <f>X13</f>
        <v>54038</v>
      </c>
      <c r="Y22" s="930">
        <v>78572</v>
      </c>
      <c r="Z22" s="930">
        <f>Z19</f>
        <v>789.47</v>
      </c>
      <c r="AA22" s="930">
        <f>AA9</f>
        <v>1142</v>
      </c>
      <c r="AB22" s="930">
        <f>AB19</f>
        <v>1076.01</v>
      </c>
      <c r="AC22" s="930">
        <f>AC7</f>
        <v>1837.35</v>
      </c>
      <c r="AD22" s="930">
        <f>AD13</f>
        <v>9396.7000000000007</v>
      </c>
      <c r="AE22" s="930">
        <f>AE9</f>
        <v>7254</v>
      </c>
      <c r="AF22" s="930">
        <f>AF19</f>
        <v>47424.33</v>
      </c>
      <c r="AG22" s="930">
        <f>AG9</f>
        <v>59685</v>
      </c>
      <c r="AH22" s="930">
        <f>AH9</f>
        <v>6599.75</v>
      </c>
      <c r="AI22" s="930">
        <f>AI9</f>
        <v>11792</v>
      </c>
      <c r="AJ22" s="930">
        <f>AJ19</f>
        <v>5510.58</v>
      </c>
      <c r="AK22" s="931">
        <f>AK9</f>
        <v>7080</v>
      </c>
      <c r="AL22" s="1028"/>
      <c r="AM22" s="1029"/>
      <c r="AN22" s="1023">
        <f>AN13</f>
        <v>32407.59</v>
      </c>
      <c r="AO22" s="960">
        <f>AO13</f>
        <v>33832</v>
      </c>
      <c r="AP22" s="259">
        <f>AP9</f>
        <v>5139.74</v>
      </c>
      <c r="AQ22" s="930">
        <f>AQ9</f>
        <v>7489</v>
      </c>
      <c r="AR22" s="930">
        <f>AR19</f>
        <v>1107.08</v>
      </c>
      <c r="AS22" s="931">
        <f>AS9</f>
        <v>1506</v>
      </c>
      <c r="AT22" s="968">
        <f>AT9</f>
        <v>45576.32</v>
      </c>
      <c r="AU22" s="930">
        <f>AU9</f>
        <v>49070</v>
      </c>
      <c r="AV22" s="259">
        <f>SUM(B22:AU22)</f>
        <v>840601.63999999978</v>
      </c>
      <c r="AW22" s="930"/>
      <c r="AX22" s="930"/>
      <c r="AY22" s="930"/>
      <c r="AZ22" s="968">
        <f t="shared" si="1"/>
        <v>840601.63999999978</v>
      </c>
      <c r="BA22" s="975"/>
    </row>
    <row r="23" spans="1:53" ht="14.25">
      <c r="A23" s="905" t="s">
        <v>342</v>
      </c>
      <c r="B23" s="930"/>
      <c r="C23" s="930"/>
      <c r="D23" s="930"/>
      <c r="E23" s="930"/>
      <c r="F23" s="930"/>
      <c r="G23" s="930"/>
      <c r="H23" s="930"/>
      <c r="I23" s="930"/>
      <c r="J23" s="930"/>
      <c r="K23" s="930"/>
      <c r="L23" s="930"/>
      <c r="M23" s="930"/>
      <c r="N23" s="930"/>
      <c r="O23" s="930"/>
      <c r="P23" s="930"/>
      <c r="Q23" s="930"/>
      <c r="R23" s="930"/>
      <c r="S23" s="930"/>
      <c r="T23" s="930"/>
      <c r="U23" s="930"/>
      <c r="V23" s="930"/>
      <c r="W23" s="930"/>
      <c r="X23" s="930"/>
      <c r="Y23" s="930"/>
      <c r="Z23" s="930"/>
      <c r="AA23" s="930"/>
      <c r="AB23" s="930"/>
      <c r="AC23" s="930"/>
      <c r="AD23" s="930"/>
      <c r="AE23" s="930"/>
      <c r="AF23" s="930"/>
      <c r="AG23" s="930"/>
      <c r="AH23" s="930"/>
      <c r="AI23" s="930"/>
      <c r="AJ23" s="930"/>
      <c r="AK23" s="931"/>
      <c r="AL23" s="1028"/>
      <c r="AM23" s="1029"/>
      <c r="AN23" s="1023"/>
      <c r="AO23" s="960"/>
      <c r="AP23" s="259"/>
      <c r="AQ23" s="930"/>
      <c r="AR23" s="930"/>
      <c r="AS23" s="931"/>
      <c r="AT23" s="968"/>
      <c r="AU23" s="930"/>
      <c r="AV23" s="259">
        <f t="shared" si="0"/>
        <v>0</v>
      </c>
      <c r="AW23" s="930"/>
      <c r="AX23" s="930"/>
      <c r="AY23" s="930"/>
      <c r="AZ23" s="968">
        <f t="shared" si="1"/>
        <v>0</v>
      </c>
      <c r="BA23" s="975"/>
    </row>
    <row r="24" spans="1:53">
      <c r="A24" s="67" t="s">
        <v>343</v>
      </c>
      <c r="B24" s="930"/>
      <c r="C24" s="930"/>
      <c r="D24" s="930"/>
      <c r="E24" s="930"/>
      <c r="F24" s="930"/>
      <c r="G24" s="930"/>
      <c r="H24" s="930"/>
      <c r="I24" s="930"/>
      <c r="J24" s="930"/>
      <c r="K24" s="930"/>
      <c r="L24" s="930"/>
      <c r="M24" s="930"/>
      <c r="N24" s="930"/>
      <c r="O24" s="930"/>
      <c r="P24" s="930"/>
      <c r="Q24" s="930"/>
      <c r="R24" s="930"/>
      <c r="S24" s="930"/>
      <c r="T24" s="930"/>
      <c r="U24" s="930"/>
      <c r="V24" s="930"/>
      <c r="W24" s="930"/>
      <c r="X24" s="930"/>
      <c r="Y24" s="930"/>
      <c r="Z24" s="930"/>
      <c r="AA24" s="930"/>
      <c r="AB24" s="930"/>
      <c r="AC24" s="930"/>
      <c r="AD24" s="930"/>
      <c r="AE24" s="930"/>
      <c r="AF24" s="930"/>
      <c r="AG24" s="930"/>
      <c r="AH24" s="930"/>
      <c r="AI24" s="930"/>
      <c r="AJ24" s="930"/>
      <c r="AK24" s="931"/>
      <c r="AL24" s="1028"/>
      <c r="AM24" s="1029"/>
      <c r="AN24" s="1023"/>
      <c r="AO24" s="960"/>
      <c r="AP24" s="259"/>
      <c r="AQ24" s="930"/>
      <c r="AR24" s="930"/>
      <c r="AS24" s="931"/>
      <c r="AT24" s="968"/>
      <c r="AU24" s="930"/>
      <c r="AV24" s="259">
        <f t="shared" si="0"/>
        <v>0</v>
      </c>
      <c r="AW24" s="930"/>
      <c r="AX24" s="930"/>
      <c r="AY24" s="930"/>
      <c r="AZ24" s="968">
        <f t="shared" si="1"/>
        <v>0</v>
      </c>
      <c r="BA24" s="975"/>
    </row>
    <row r="25" spans="1:53">
      <c r="A25" s="67" t="s">
        <v>344</v>
      </c>
      <c r="B25" s="930">
        <f>B9</f>
        <v>18649</v>
      </c>
      <c r="C25" s="930">
        <f>C22</f>
        <v>25688</v>
      </c>
      <c r="D25" s="932">
        <f>D22</f>
        <v>6967.37</v>
      </c>
      <c r="E25" s="932">
        <v>7195</v>
      </c>
      <c r="F25" s="930"/>
      <c r="G25" s="930"/>
      <c r="H25" s="930">
        <f>H22</f>
        <v>44461.73</v>
      </c>
      <c r="I25" s="930">
        <f>I9</f>
        <v>49525</v>
      </c>
      <c r="J25" s="930">
        <f>J9</f>
        <v>2117.35</v>
      </c>
      <c r="K25" s="930">
        <f>K9</f>
        <v>2882</v>
      </c>
      <c r="L25" s="930">
        <f>L9</f>
        <v>180.8</v>
      </c>
      <c r="M25" s="930">
        <f>M9</f>
        <v>532</v>
      </c>
      <c r="N25" s="930">
        <f>N19</f>
        <v>4852.47</v>
      </c>
      <c r="O25" s="930">
        <f>O22</f>
        <v>7611</v>
      </c>
      <c r="P25" s="930">
        <v>1253</v>
      </c>
      <c r="Q25" s="930">
        <v>1781</v>
      </c>
      <c r="R25" s="930">
        <f>R22</f>
        <v>49091</v>
      </c>
      <c r="S25" s="930">
        <v>57816</v>
      </c>
      <c r="T25" s="930">
        <f>T22</f>
        <v>2068</v>
      </c>
      <c r="U25" s="930">
        <v>3209</v>
      </c>
      <c r="V25" s="930">
        <f t="shared" ref="V25:AF25" si="3">V22</f>
        <v>32466</v>
      </c>
      <c r="W25" s="930">
        <f>W9</f>
        <v>53931</v>
      </c>
      <c r="X25" s="930">
        <f t="shared" si="3"/>
        <v>54038</v>
      </c>
      <c r="Y25" s="930">
        <v>78572</v>
      </c>
      <c r="Z25" s="930">
        <f t="shared" si="3"/>
        <v>789.47</v>
      </c>
      <c r="AA25" s="930">
        <f>AA9</f>
        <v>1142</v>
      </c>
      <c r="AB25" s="930">
        <f t="shared" si="3"/>
        <v>1076.01</v>
      </c>
      <c r="AC25" s="930">
        <f>AC7</f>
        <v>1837.35</v>
      </c>
      <c r="AD25" s="930">
        <f t="shared" si="3"/>
        <v>9396.7000000000007</v>
      </c>
      <c r="AE25" s="930">
        <v>7254</v>
      </c>
      <c r="AF25" s="930">
        <f t="shared" si="3"/>
        <v>47424.33</v>
      </c>
      <c r="AG25" s="930">
        <f>AG9</f>
        <v>59685</v>
      </c>
      <c r="AH25" s="930">
        <f>AH9</f>
        <v>6599.75</v>
      </c>
      <c r="AI25" s="930">
        <f>AI9</f>
        <v>11792</v>
      </c>
      <c r="AJ25" s="930">
        <f>AJ22</f>
        <v>5510.58</v>
      </c>
      <c r="AK25" s="931">
        <f>AK9</f>
        <v>7080</v>
      </c>
      <c r="AL25" s="1028"/>
      <c r="AM25" s="1029"/>
      <c r="AN25" s="1023">
        <f>AN22</f>
        <v>32407.59</v>
      </c>
      <c r="AO25" s="960">
        <f>AO22</f>
        <v>33832</v>
      </c>
      <c r="AP25" s="259">
        <f>AP9</f>
        <v>5139.74</v>
      </c>
      <c r="AQ25" s="930">
        <f>AQ9</f>
        <v>7489</v>
      </c>
      <c r="AR25" s="930">
        <f>AR22</f>
        <v>1107.08</v>
      </c>
      <c r="AS25" s="931">
        <f>AS9</f>
        <v>1506</v>
      </c>
      <c r="AT25" s="968">
        <f>AT9</f>
        <v>45576.32</v>
      </c>
      <c r="AU25" s="930">
        <f>AU9</f>
        <v>49070</v>
      </c>
      <c r="AV25" s="259">
        <f>SUM(B25:AU25)</f>
        <v>840601.63999999978</v>
      </c>
      <c r="AW25" s="930"/>
      <c r="AX25" s="930"/>
      <c r="AY25" s="930"/>
      <c r="AZ25" s="968">
        <f t="shared" si="1"/>
        <v>840601.63999999978</v>
      </c>
      <c r="BA25" s="975"/>
    </row>
    <row r="26" spans="1:53">
      <c r="A26" s="67" t="s">
        <v>345</v>
      </c>
      <c r="B26" s="930"/>
      <c r="C26" s="930"/>
      <c r="D26" s="930"/>
      <c r="E26" s="930"/>
      <c r="F26" s="930"/>
      <c r="G26" s="930"/>
      <c r="H26" s="930"/>
      <c r="I26" s="930"/>
      <c r="J26" s="930"/>
      <c r="K26" s="930"/>
      <c r="L26" s="930"/>
      <c r="M26" s="930"/>
      <c r="N26" s="930"/>
      <c r="O26" s="930"/>
      <c r="P26" s="930"/>
      <c r="Q26" s="930"/>
      <c r="R26" s="930"/>
      <c r="S26" s="930"/>
      <c r="T26" s="930"/>
      <c r="U26" s="930"/>
      <c r="V26" s="930"/>
      <c r="W26" s="930"/>
      <c r="X26" s="930"/>
      <c r="Y26" s="930"/>
      <c r="Z26" s="930"/>
      <c r="AA26" s="930"/>
      <c r="AB26" s="930"/>
      <c r="AC26" s="930"/>
      <c r="AD26" s="930"/>
      <c r="AE26" s="930"/>
      <c r="AF26" s="930"/>
      <c r="AG26" s="930"/>
      <c r="AH26" s="930"/>
      <c r="AI26" s="930"/>
      <c r="AJ26" s="930"/>
      <c r="AK26" s="931"/>
      <c r="AL26" s="1028"/>
      <c r="AM26" s="1029"/>
      <c r="AN26" s="1023"/>
      <c r="AO26" s="960"/>
      <c r="AP26" s="259"/>
      <c r="AQ26" s="930"/>
      <c r="AR26" s="930"/>
      <c r="AS26" s="931"/>
      <c r="AT26" s="968"/>
      <c r="AU26" s="930"/>
      <c r="AV26" s="259">
        <f t="shared" si="0"/>
        <v>0</v>
      </c>
      <c r="AW26" s="930"/>
      <c r="AX26" s="930"/>
      <c r="AY26" s="930"/>
      <c r="AZ26" s="968">
        <f t="shared" si="1"/>
        <v>0</v>
      </c>
      <c r="BA26" s="975"/>
    </row>
    <row r="27" spans="1:53">
      <c r="A27" s="929" t="s">
        <v>346</v>
      </c>
      <c r="B27" s="930"/>
      <c r="C27" s="930"/>
      <c r="D27" s="930"/>
      <c r="E27" s="930"/>
      <c r="F27" s="930"/>
      <c r="G27" s="930"/>
      <c r="H27" s="930"/>
      <c r="I27" s="930"/>
      <c r="J27" s="930"/>
      <c r="K27" s="930"/>
      <c r="L27" s="930"/>
      <c r="M27" s="930"/>
      <c r="N27" s="930"/>
      <c r="O27" s="930"/>
      <c r="P27" s="930"/>
      <c r="Q27" s="930"/>
      <c r="R27" s="930"/>
      <c r="S27" s="930"/>
      <c r="T27" s="930"/>
      <c r="U27" s="930"/>
      <c r="V27" s="930"/>
      <c r="W27" s="930"/>
      <c r="X27" s="930"/>
      <c r="Y27" s="930"/>
      <c r="Z27" s="930"/>
      <c r="AA27" s="930"/>
      <c r="AB27" s="930"/>
      <c r="AC27" s="930"/>
      <c r="AD27" s="930"/>
      <c r="AE27" s="930"/>
      <c r="AF27" s="930"/>
      <c r="AG27" s="930"/>
      <c r="AH27" s="930"/>
      <c r="AI27" s="930"/>
      <c r="AJ27" s="930"/>
      <c r="AK27" s="931"/>
      <c r="AL27" s="1028"/>
      <c r="AM27" s="1029"/>
      <c r="AN27" s="1023"/>
      <c r="AO27" s="960"/>
      <c r="AP27" s="259"/>
      <c r="AQ27" s="930"/>
      <c r="AR27" s="930"/>
      <c r="AS27" s="931"/>
      <c r="AT27" s="968"/>
      <c r="AU27" s="930"/>
      <c r="AV27" s="259">
        <f t="shared" si="0"/>
        <v>0</v>
      </c>
      <c r="AW27" s="930"/>
      <c r="AX27" s="930"/>
      <c r="AY27" s="930"/>
      <c r="AZ27" s="968"/>
      <c r="BA27" s="975"/>
    </row>
    <row r="28" spans="1:53">
      <c r="A28" s="67" t="s">
        <v>347</v>
      </c>
      <c r="B28" s="930"/>
      <c r="C28" s="930"/>
      <c r="D28" s="930"/>
      <c r="E28" s="930"/>
      <c r="F28" s="930"/>
      <c r="G28" s="930"/>
      <c r="H28" s="930"/>
      <c r="I28" s="930"/>
      <c r="J28" s="930"/>
      <c r="K28" s="930"/>
      <c r="L28" s="930"/>
      <c r="M28" s="930"/>
      <c r="N28" s="930"/>
      <c r="O28" s="930"/>
      <c r="P28" s="930"/>
      <c r="Q28" s="930"/>
      <c r="R28" s="930"/>
      <c r="S28" s="930"/>
      <c r="T28" s="930"/>
      <c r="U28" s="930"/>
      <c r="V28" s="930"/>
      <c r="W28" s="930"/>
      <c r="X28" s="930"/>
      <c r="Y28" s="930"/>
      <c r="Z28" s="930"/>
      <c r="AA28" s="930"/>
      <c r="AB28" s="930"/>
      <c r="AC28" s="930"/>
      <c r="AD28" s="930"/>
      <c r="AE28" s="930"/>
      <c r="AF28" s="930"/>
      <c r="AG28" s="930"/>
      <c r="AH28" s="930"/>
      <c r="AI28" s="930"/>
      <c r="AJ28" s="930"/>
      <c r="AK28" s="931"/>
      <c r="AL28" s="1028"/>
      <c r="AM28" s="1029"/>
      <c r="AN28" s="1023"/>
      <c r="AO28" s="960"/>
      <c r="AP28" s="259"/>
      <c r="AQ28" s="930"/>
      <c r="AR28" s="930"/>
      <c r="AS28" s="931"/>
      <c r="AT28" s="968"/>
      <c r="AU28" s="930"/>
      <c r="AV28" s="259">
        <f t="shared" si="0"/>
        <v>0</v>
      </c>
      <c r="AW28" s="930"/>
      <c r="AX28" s="930"/>
      <c r="AY28" s="930"/>
      <c r="AZ28" s="968">
        <f t="shared" si="1"/>
        <v>0</v>
      </c>
      <c r="BA28" s="975"/>
    </row>
    <row r="29" spans="1:53">
      <c r="A29" s="67" t="s">
        <v>344</v>
      </c>
      <c r="B29" s="930"/>
      <c r="C29" s="930"/>
      <c r="D29" s="930"/>
      <c r="E29" s="930"/>
      <c r="F29" s="930"/>
      <c r="G29" s="930"/>
      <c r="H29" s="930"/>
      <c r="I29" s="930"/>
      <c r="J29" s="930"/>
      <c r="K29" s="930"/>
      <c r="L29" s="930"/>
      <c r="M29" s="930"/>
      <c r="N29" s="930"/>
      <c r="O29" s="930"/>
      <c r="P29" s="930"/>
      <c r="Q29" s="930"/>
      <c r="R29" s="930"/>
      <c r="S29" s="930"/>
      <c r="T29" s="930"/>
      <c r="U29" s="930"/>
      <c r="V29" s="930"/>
      <c r="W29" s="930"/>
      <c r="X29" s="930"/>
      <c r="Y29" s="930"/>
      <c r="Z29" s="930"/>
      <c r="AA29" s="930"/>
      <c r="AB29" s="930"/>
      <c r="AC29" s="930"/>
      <c r="AD29" s="930"/>
      <c r="AE29" s="930"/>
      <c r="AF29" s="930"/>
      <c r="AG29" s="930"/>
      <c r="AH29" s="930"/>
      <c r="AI29" s="930"/>
      <c r="AJ29" s="930"/>
      <c r="AK29" s="931"/>
      <c r="AL29" s="1028"/>
      <c r="AM29" s="1029"/>
      <c r="AN29" s="1023"/>
      <c r="AO29" s="960"/>
      <c r="AP29" s="259"/>
      <c r="AQ29" s="930"/>
      <c r="AR29" s="930"/>
      <c r="AS29" s="931"/>
      <c r="AT29" s="968"/>
      <c r="AU29" s="930"/>
      <c r="AV29" s="259">
        <f t="shared" si="0"/>
        <v>0</v>
      </c>
      <c r="AW29" s="930"/>
      <c r="AX29" s="930"/>
      <c r="AY29" s="930"/>
      <c r="AZ29" s="968">
        <f t="shared" si="1"/>
        <v>0</v>
      </c>
      <c r="BA29" s="975"/>
    </row>
    <row r="30" spans="1:53">
      <c r="A30" s="67" t="s">
        <v>348</v>
      </c>
      <c r="B30" s="930"/>
      <c r="C30" s="930"/>
      <c r="D30" s="930"/>
      <c r="E30" s="930"/>
      <c r="F30" s="930"/>
      <c r="G30" s="930"/>
      <c r="H30" s="930"/>
      <c r="I30" s="930"/>
      <c r="J30" s="930"/>
      <c r="K30" s="930"/>
      <c r="L30" s="930"/>
      <c r="M30" s="930"/>
      <c r="N30" s="930"/>
      <c r="O30" s="930"/>
      <c r="P30" s="930"/>
      <c r="Q30" s="930"/>
      <c r="R30" s="930"/>
      <c r="S30" s="930"/>
      <c r="T30" s="930"/>
      <c r="U30" s="930"/>
      <c r="V30" s="930"/>
      <c r="W30" s="930"/>
      <c r="X30" s="930"/>
      <c r="Y30" s="930"/>
      <c r="Z30" s="930"/>
      <c r="AA30" s="930"/>
      <c r="AB30" s="930"/>
      <c r="AC30" s="930"/>
      <c r="AD30" s="930"/>
      <c r="AE30" s="930"/>
      <c r="AF30" s="930"/>
      <c r="AG30" s="930"/>
      <c r="AH30" s="930"/>
      <c r="AI30" s="930"/>
      <c r="AJ30" s="930"/>
      <c r="AK30" s="931"/>
      <c r="AL30" s="1028"/>
      <c r="AM30" s="1029"/>
      <c r="AN30" s="1023"/>
      <c r="AO30" s="960"/>
      <c r="AP30" s="259"/>
      <c r="AQ30" s="930"/>
      <c r="AR30" s="930"/>
      <c r="AS30" s="931"/>
      <c r="AT30" s="968"/>
      <c r="AU30" s="930"/>
      <c r="AV30" s="259">
        <f t="shared" si="0"/>
        <v>0</v>
      </c>
      <c r="AW30" s="930"/>
      <c r="AX30" s="930"/>
      <c r="AY30" s="930"/>
      <c r="AZ30" s="968">
        <f t="shared" si="1"/>
        <v>0</v>
      </c>
      <c r="BA30" s="975"/>
    </row>
    <row r="31" spans="1:53">
      <c r="A31" s="929" t="s">
        <v>349</v>
      </c>
      <c r="B31" s="930"/>
      <c r="C31" s="930"/>
      <c r="D31" s="930"/>
      <c r="E31" s="930"/>
      <c r="F31" s="930"/>
      <c r="G31" s="930"/>
      <c r="H31" s="930"/>
      <c r="I31" s="930"/>
      <c r="J31" s="930"/>
      <c r="K31" s="930"/>
      <c r="L31" s="930"/>
      <c r="M31" s="930"/>
      <c r="N31" s="930"/>
      <c r="O31" s="930"/>
      <c r="P31" s="930"/>
      <c r="Q31" s="930"/>
      <c r="R31" s="930"/>
      <c r="S31" s="930"/>
      <c r="T31" s="930"/>
      <c r="U31" s="930"/>
      <c r="V31" s="930"/>
      <c r="W31" s="930"/>
      <c r="X31" s="930"/>
      <c r="Y31" s="930"/>
      <c r="Z31" s="930"/>
      <c r="AA31" s="930"/>
      <c r="AB31" s="930"/>
      <c r="AC31" s="930"/>
      <c r="AD31" s="930"/>
      <c r="AE31" s="930"/>
      <c r="AF31" s="930"/>
      <c r="AG31" s="930"/>
      <c r="AH31" s="930"/>
      <c r="AI31" s="930"/>
      <c r="AJ31" s="930"/>
      <c r="AK31" s="931"/>
      <c r="AL31" s="1028"/>
      <c r="AM31" s="1029"/>
      <c r="AN31" s="1023"/>
      <c r="AO31" s="960"/>
      <c r="AP31" s="259"/>
      <c r="AQ31" s="930"/>
      <c r="AR31" s="930"/>
      <c r="AS31" s="931"/>
      <c r="AT31" s="968"/>
      <c r="AU31" s="930"/>
      <c r="AV31" s="259">
        <f t="shared" si="0"/>
        <v>0</v>
      </c>
      <c r="AW31" s="930"/>
      <c r="AX31" s="930"/>
      <c r="AY31" s="930"/>
      <c r="AZ31" s="968"/>
      <c r="BA31" s="975"/>
    </row>
    <row r="32" spans="1:53" ht="14.25">
      <c r="A32" s="905" t="s">
        <v>54</v>
      </c>
      <c r="B32" s="930">
        <f>B25</f>
        <v>18649</v>
      </c>
      <c r="C32" s="930">
        <f>C25</f>
        <v>25688</v>
      </c>
      <c r="D32" s="932">
        <f>D25</f>
        <v>6967.37</v>
      </c>
      <c r="E32" s="932">
        <v>7195</v>
      </c>
      <c r="F32" s="930"/>
      <c r="G32" s="930"/>
      <c r="H32" s="930">
        <f>H25</f>
        <v>44461.73</v>
      </c>
      <c r="I32" s="930">
        <f>I25</f>
        <v>49525</v>
      </c>
      <c r="J32" s="930">
        <f>J9</f>
        <v>2117.35</v>
      </c>
      <c r="K32" s="930">
        <f>K9</f>
        <v>2882</v>
      </c>
      <c r="L32" s="930">
        <f>L9</f>
        <v>180.8</v>
      </c>
      <c r="M32" s="930">
        <f>M9</f>
        <v>532</v>
      </c>
      <c r="N32" s="930">
        <f>N25</f>
        <v>4852.47</v>
      </c>
      <c r="O32" s="930">
        <f>O25</f>
        <v>7611</v>
      </c>
      <c r="P32" s="930">
        <v>1253</v>
      </c>
      <c r="Q32" s="930">
        <v>1781</v>
      </c>
      <c r="R32" s="930">
        <f>R25</f>
        <v>49091</v>
      </c>
      <c r="S32" s="930">
        <v>57816</v>
      </c>
      <c r="T32" s="930">
        <f>T22</f>
        <v>2068</v>
      </c>
      <c r="U32" s="930">
        <v>3209</v>
      </c>
      <c r="V32" s="930">
        <f t="shared" ref="V32:AF32" si="4">V25</f>
        <v>32466</v>
      </c>
      <c r="W32" s="930">
        <f>W25</f>
        <v>53931</v>
      </c>
      <c r="X32" s="930">
        <f t="shared" si="4"/>
        <v>54038</v>
      </c>
      <c r="Y32" s="930">
        <v>78572</v>
      </c>
      <c r="Z32" s="930">
        <f t="shared" si="4"/>
        <v>789.47</v>
      </c>
      <c r="AA32" s="930">
        <f>AA13</f>
        <v>1142</v>
      </c>
      <c r="AB32" s="930">
        <f t="shared" si="4"/>
        <v>1076.01</v>
      </c>
      <c r="AC32" s="930">
        <f>AC7</f>
        <v>1837.35</v>
      </c>
      <c r="AD32" s="930">
        <f t="shared" si="4"/>
        <v>9396.7000000000007</v>
      </c>
      <c r="AE32" s="930">
        <v>7254</v>
      </c>
      <c r="AF32" s="930">
        <f t="shared" si="4"/>
        <v>47424.33</v>
      </c>
      <c r="AG32" s="930">
        <f>AG9</f>
        <v>59685</v>
      </c>
      <c r="AH32" s="930">
        <f>AH9</f>
        <v>6599.75</v>
      </c>
      <c r="AI32" s="930">
        <f>AI13</f>
        <v>11792</v>
      </c>
      <c r="AJ32" s="930">
        <f>AJ25</f>
        <v>5510.58</v>
      </c>
      <c r="AK32" s="931">
        <f>AK9</f>
        <v>7080</v>
      </c>
      <c r="AL32" s="1028"/>
      <c r="AM32" s="1029"/>
      <c r="AN32" s="1023">
        <f>AN25</f>
        <v>32407.59</v>
      </c>
      <c r="AO32" s="960">
        <f>AO25</f>
        <v>33832</v>
      </c>
      <c r="AP32" s="259">
        <f>AP9</f>
        <v>5139.74</v>
      </c>
      <c r="AQ32" s="930">
        <f>AQ9</f>
        <v>7489</v>
      </c>
      <c r="AR32" s="930">
        <f>AR25</f>
        <v>1107.08</v>
      </c>
      <c r="AS32" s="931">
        <f>AS13</f>
        <v>1506</v>
      </c>
      <c r="AT32" s="968">
        <f>AT9</f>
        <v>45576.32</v>
      </c>
      <c r="AU32" s="930">
        <f>AU13</f>
        <v>49070</v>
      </c>
      <c r="AV32" s="259">
        <f t="shared" si="0"/>
        <v>791531.63999999978</v>
      </c>
      <c r="AW32" s="930"/>
      <c r="AX32" s="930"/>
      <c r="AY32" s="930"/>
      <c r="AZ32" s="968">
        <f t="shared" si="1"/>
        <v>791531.63999999978</v>
      </c>
      <c r="BA32" s="975"/>
    </row>
    <row r="33" spans="1:53" ht="14.25">
      <c r="A33" s="905" t="s">
        <v>350</v>
      </c>
      <c r="B33" s="930"/>
      <c r="C33" s="930"/>
      <c r="D33" s="930"/>
      <c r="E33" s="930"/>
      <c r="F33" s="930"/>
      <c r="G33" s="930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0"/>
      <c r="S33" s="930"/>
      <c r="T33" s="930"/>
      <c r="U33" s="930"/>
      <c r="V33" s="930"/>
      <c r="W33" s="930"/>
      <c r="X33" s="930"/>
      <c r="Y33" s="930"/>
      <c r="Z33" s="930"/>
      <c r="AA33" s="930"/>
      <c r="AB33" s="930"/>
      <c r="AC33" s="930"/>
      <c r="AD33" s="930"/>
      <c r="AE33" s="930"/>
      <c r="AF33" s="930"/>
      <c r="AG33" s="930"/>
      <c r="AH33" s="930"/>
      <c r="AI33" s="930"/>
      <c r="AJ33" s="930"/>
      <c r="AK33" s="931"/>
      <c r="AL33" s="1028"/>
      <c r="AM33" s="1029"/>
      <c r="AN33" s="1023"/>
      <c r="AO33" s="960"/>
      <c r="AP33" s="259"/>
      <c r="AQ33" s="930"/>
      <c r="AR33" s="930"/>
      <c r="AS33" s="931"/>
      <c r="AT33" s="968"/>
      <c r="AU33" s="930"/>
      <c r="AV33" s="259">
        <f t="shared" si="0"/>
        <v>0</v>
      </c>
      <c r="AW33" s="930"/>
      <c r="AX33" s="930"/>
      <c r="AY33" s="930"/>
      <c r="AZ33" s="968">
        <f t="shared" si="1"/>
        <v>0</v>
      </c>
      <c r="BA33" s="975"/>
    </row>
    <row r="34" spans="1:53">
      <c r="A34" s="67" t="s">
        <v>351</v>
      </c>
      <c r="B34" s="930">
        <v>559.37</v>
      </c>
      <c r="C34" s="930">
        <v>320</v>
      </c>
      <c r="D34" s="930"/>
      <c r="E34" s="930"/>
      <c r="F34" s="930"/>
      <c r="G34" s="930"/>
      <c r="H34" s="930">
        <v>4097.49</v>
      </c>
      <c r="I34" s="930">
        <v>5230</v>
      </c>
      <c r="J34" s="930"/>
      <c r="K34" s="930"/>
      <c r="L34" s="930"/>
      <c r="M34" s="930"/>
      <c r="N34" s="930">
        <v>88.16</v>
      </c>
      <c r="O34" s="930">
        <v>236</v>
      </c>
      <c r="P34" s="930">
        <v>24</v>
      </c>
      <c r="Q34" s="930">
        <v>38</v>
      </c>
      <c r="R34" s="930">
        <v>3242</v>
      </c>
      <c r="S34" s="930">
        <v>3458</v>
      </c>
      <c r="T34" s="930">
        <v>14</v>
      </c>
      <c r="U34" s="930">
        <v>1</v>
      </c>
      <c r="V34" s="930">
        <v>11738</v>
      </c>
      <c r="W34" s="930">
        <v>16508</v>
      </c>
      <c r="X34" s="930">
        <v>1010</v>
      </c>
      <c r="Y34" s="930">
        <v>1063</v>
      </c>
      <c r="Z34" s="930"/>
      <c r="AA34" s="930"/>
      <c r="AB34" s="930">
        <v>29.75</v>
      </c>
      <c r="AC34" s="930">
        <v>86.7</v>
      </c>
      <c r="AD34" s="930">
        <v>730.68</v>
      </c>
      <c r="AE34" s="930">
        <v>574</v>
      </c>
      <c r="AF34" s="930">
        <v>738.23</v>
      </c>
      <c r="AG34" s="930">
        <v>1650</v>
      </c>
      <c r="AH34" s="930">
        <v>318.37</v>
      </c>
      <c r="AI34" s="930">
        <v>236</v>
      </c>
      <c r="AJ34" s="930">
        <v>526.59</v>
      </c>
      <c r="AK34" s="931">
        <v>365</v>
      </c>
      <c r="AL34" s="1028"/>
      <c r="AM34" s="1029"/>
      <c r="AN34" s="1023">
        <v>1026.46</v>
      </c>
      <c r="AO34" s="960">
        <v>4445</v>
      </c>
      <c r="AP34" s="259">
        <v>100.19</v>
      </c>
      <c r="AQ34" s="930">
        <v>217</v>
      </c>
      <c r="AR34" s="930">
        <v>70.55</v>
      </c>
      <c r="AS34" s="931">
        <v>359</v>
      </c>
      <c r="AT34" s="968"/>
      <c r="AU34" s="930"/>
      <c r="AV34" s="259">
        <f t="shared" si="0"/>
        <v>59100.540000000008</v>
      </c>
      <c r="AW34" s="930"/>
      <c r="AX34" s="930"/>
      <c r="AY34" s="930"/>
      <c r="AZ34" s="968"/>
      <c r="BA34" s="975"/>
    </row>
    <row r="35" spans="1:53">
      <c r="A35" s="67" t="s">
        <v>352</v>
      </c>
      <c r="B35" s="933"/>
      <c r="C35" s="933"/>
      <c r="D35" s="933">
        <v>0</v>
      </c>
      <c r="E35" s="933">
        <v>5</v>
      </c>
      <c r="F35" s="933">
        <v>0</v>
      </c>
      <c r="G35" s="933"/>
      <c r="H35" s="933"/>
      <c r="I35" s="933"/>
      <c r="J35" s="933">
        <v>0</v>
      </c>
      <c r="K35" s="933"/>
      <c r="L35" s="933">
        <v>0</v>
      </c>
      <c r="M35" s="933"/>
      <c r="N35" s="933">
        <v>0</v>
      </c>
      <c r="O35" s="933"/>
      <c r="P35" s="933"/>
      <c r="Q35" s="933"/>
      <c r="R35" s="933"/>
      <c r="S35" s="933"/>
      <c r="T35" s="933"/>
      <c r="U35" s="933"/>
      <c r="V35" s="933"/>
      <c r="W35" s="933"/>
      <c r="X35" s="933"/>
      <c r="Y35" s="933"/>
      <c r="Z35" s="933">
        <v>0</v>
      </c>
      <c r="AA35" s="933"/>
      <c r="AB35" s="933">
        <v>0</v>
      </c>
      <c r="AC35" s="933"/>
      <c r="AD35" s="933"/>
      <c r="AE35" s="933"/>
      <c r="AF35" s="933"/>
      <c r="AG35" s="933"/>
      <c r="AH35" s="933"/>
      <c r="AI35" s="933"/>
      <c r="AJ35" s="933"/>
      <c r="AK35" s="934"/>
      <c r="AL35" s="964">
        <v>0</v>
      </c>
      <c r="AM35" s="933"/>
      <c r="AN35" s="933"/>
      <c r="AO35" s="934"/>
      <c r="AP35" s="964"/>
      <c r="AQ35" s="933"/>
      <c r="AR35" s="933">
        <v>0</v>
      </c>
      <c r="AS35" s="934"/>
      <c r="AT35" s="969">
        <v>0</v>
      </c>
      <c r="AU35" s="933"/>
      <c r="AV35" s="259">
        <f t="shared" si="0"/>
        <v>5</v>
      </c>
      <c r="AW35" s="933"/>
      <c r="AX35" s="933"/>
      <c r="AY35" s="933"/>
      <c r="AZ35" s="968"/>
      <c r="BA35" s="975"/>
    </row>
    <row r="36" spans="1:53">
      <c r="A36" s="67" t="s">
        <v>353</v>
      </c>
      <c r="B36" s="933"/>
      <c r="C36" s="933"/>
      <c r="D36" s="933"/>
      <c r="E36" s="933"/>
      <c r="F36" s="933"/>
      <c r="G36" s="933"/>
      <c r="H36" s="933"/>
      <c r="I36" s="933"/>
      <c r="J36" s="933"/>
      <c r="K36" s="933"/>
      <c r="L36" s="933"/>
      <c r="M36" s="933"/>
      <c r="N36" s="933"/>
      <c r="O36" s="933"/>
      <c r="P36" s="933"/>
      <c r="Q36" s="933"/>
      <c r="R36" s="933"/>
      <c r="S36" s="933"/>
      <c r="T36" s="933"/>
      <c r="U36" s="933"/>
      <c r="V36" s="933"/>
      <c r="W36" s="933"/>
      <c r="X36" s="933"/>
      <c r="Y36" s="933"/>
      <c r="Z36" s="933"/>
      <c r="AA36" s="933"/>
      <c r="AB36" s="933"/>
      <c r="AC36" s="933"/>
      <c r="AD36" s="933"/>
      <c r="AE36" s="933"/>
      <c r="AF36" s="933"/>
      <c r="AG36" s="933"/>
      <c r="AH36" s="933"/>
      <c r="AI36" s="933"/>
      <c r="AJ36" s="933"/>
      <c r="AK36" s="934"/>
      <c r="AL36" s="1030"/>
      <c r="AM36" s="1031"/>
      <c r="AN36" s="1024"/>
      <c r="AO36" s="961"/>
      <c r="AP36" s="964"/>
      <c r="AQ36" s="933"/>
      <c r="AR36" s="933"/>
      <c r="AS36" s="934"/>
      <c r="AT36" s="969"/>
      <c r="AU36" s="933"/>
      <c r="AV36" s="259">
        <f t="shared" si="0"/>
        <v>0</v>
      </c>
      <c r="AW36" s="933"/>
      <c r="AX36" s="933"/>
      <c r="AY36" s="933"/>
      <c r="AZ36" s="968"/>
      <c r="BA36" s="975"/>
    </row>
    <row r="37" spans="1:53">
      <c r="A37" s="181" t="s">
        <v>354</v>
      </c>
      <c r="B37" s="933"/>
      <c r="C37" s="933"/>
      <c r="D37" s="933"/>
      <c r="E37" s="933"/>
      <c r="F37" s="933"/>
      <c r="G37" s="933"/>
      <c r="H37" s="933"/>
      <c r="I37" s="933"/>
      <c r="J37" s="933"/>
      <c r="K37" s="933"/>
      <c r="L37" s="933"/>
      <c r="M37" s="933"/>
      <c r="N37" s="933"/>
      <c r="O37" s="933"/>
      <c r="P37" s="933"/>
      <c r="Q37" s="933"/>
      <c r="R37" s="933"/>
      <c r="S37" s="933"/>
      <c r="T37" s="933"/>
      <c r="U37" s="933"/>
      <c r="V37" s="933"/>
      <c r="W37" s="933"/>
      <c r="X37" s="933"/>
      <c r="Y37" s="933"/>
      <c r="Z37" s="933"/>
      <c r="AA37" s="933"/>
      <c r="AB37" s="933"/>
      <c r="AC37" s="933"/>
      <c r="AD37" s="933"/>
      <c r="AE37" s="933"/>
      <c r="AF37" s="933"/>
      <c r="AG37" s="933"/>
      <c r="AH37" s="933"/>
      <c r="AI37" s="933"/>
      <c r="AJ37" s="933"/>
      <c r="AK37" s="934"/>
      <c r="AL37" s="1030"/>
      <c r="AM37" s="1031"/>
      <c r="AN37" s="1024"/>
      <c r="AO37" s="961"/>
      <c r="AP37" s="964"/>
      <c r="AQ37" s="933"/>
      <c r="AR37" s="933"/>
      <c r="AS37" s="934"/>
      <c r="AT37" s="969"/>
      <c r="AU37" s="933"/>
      <c r="AV37" s="259">
        <f t="shared" si="0"/>
        <v>0</v>
      </c>
      <c r="AW37" s="933"/>
      <c r="AX37" s="933"/>
      <c r="AY37" s="933"/>
      <c r="AZ37" s="968"/>
      <c r="BA37" s="975"/>
    </row>
    <row r="38" spans="1:53">
      <c r="A38" s="181" t="s">
        <v>355</v>
      </c>
      <c r="B38" s="933">
        <v>18089.38</v>
      </c>
      <c r="C38" s="933">
        <v>25368</v>
      </c>
      <c r="D38" s="935">
        <v>6967.37</v>
      </c>
      <c r="E38" s="935">
        <v>7190</v>
      </c>
      <c r="F38" s="933"/>
      <c r="G38" s="933"/>
      <c r="H38" s="933">
        <v>40364.239999999998</v>
      </c>
      <c r="I38" s="933">
        <v>44295</v>
      </c>
      <c r="J38" s="933">
        <v>211735</v>
      </c>
      <c r="K38" s="933">
        <f>K13</f>
        <v>2882</v>
      </c>
      <c r="L38" s="933">
        <v>180.8</v>
      </c>
      <c r="M38" s="933">
        <f>M22</f>
        <v>532</v>
      </c>
      <c r="N38" s="933">
        <v>4764.3100000000004</v>
      </c>
      <c r="O38" s="933">
        <v>7375</v>
      </c>
      <c r="P38" s="933">
        <v>1229</v>
      </c>
      <c r="Q38" s="933">
        <v>1743</v>
      </c>
      <c r="R38" s="933">
        <v>45849</v>
      </c>
      <c r="S38" s="933">
        <v>54358</v>
      </c>
      <c r="T38" s="933">
        <v>2054</v>
      </c>
      <c r="U38" s="933">
        <v>3208</v>
      </c>
      <c r="V38" s="933">
        <v>20728</v>
      </c>
      <c r="W38" s="933">
        <v>37423</v>
      </c>
      <c r="X38" s="933">
        <v>53028</v>
      </c>
      <c r="Y38" s="933">
        <v>77509</v>
      </c>
      <c r="Z38" s="933">
        <v>789.47</v>
      </c>
      <c r="AA38" s="933">
        <f>AA19</f>
        <v>1142</v>
      </c>
      <c r="AB38" s="933">
        <v>1046.26</v>
      </c>
      <c r="AC38" s="933">
        <v>1750.65</v>
      </c>
      <c r="AD38" s="933">
        <v>8666.02</v>
      </c>
      <c r="AE38" s="933">
        <v>6680</v>
      </c>
      <c r="AF38" s="933">
        <v>46686.1</v>
      </c>
      <c r="AG38" s="933">
        <v>58035</v>
      </c>
      <c r="AH38" s="933">
        <v>6281.38</v>
      </c>
      <c r="AI38" s="933">
        <v>11556</v>
      </c>
      <c r="AJ38" s="933">
        <v>4983.99</v>
      </c>
      <c r="AK38" s="934">
        <v>6715</v>
      </c>
      <c r="AL38" s="1030"/>
      <c r="AM38" s="1031"/>
      <c r="AN38" s="1024">
        <v>31381.13</v>
      </c>
      <c r="AO38" s="961">
        <v>29388</v>
      </c>
      <c r="AP38" s="964">
        <v>5039.55</v>
      </c>
      <c r="AQ38" s="933">
        <v>7271</v>
      </c>
      <c r="AR38" s="933">
        <v>1036.53</v>
      </c>
      <c r="AS38" s="934">
        <v>1147</v>
      </c>
      <c r="AT38" s="969">
        <f>AT32</f>
        <v>45576.32</v>
      </c>
      <c r="AU38" s="933">
        <f>AU19</f>
        <v>49070</v>
      </c>
      <c r="AV38" s="259">
        <f t="shared" si="0"/>
        <v>942043.5</v>
      </c>
      <c r="AW38" s="933"/>
      <c r="AX38" s="933"/>
      <c r="AY38" s="933"/>
      <c r="AZ38" s="968"/>
      <c r="BA38" s="975"/>
    </row>
    <row r="39" spans="1:53">
      <c r="A39" s="67" t="s">
        <v>352</v>
      </c>
      <c r="B39" s="895"/>
      <c r="C39" s="895"/>
      <c r="D39" s="895"/>
      <c r="E39" s="895"/>
      <c r="F39" s="895">
        <v>0</v>
      </c>
      <c r="G39" s="895"/>
      <c r="H39" s="895"/>
      <c r="I39" s="895"/>
      <c r="J39" s="895"/>
      <c r="K39" s="895"/>
      <c r="L39" s="895"/>
      <c r="M39" s="895"/>
      <c r="N39" s="895"/>
      <c r="O39" s="895"/>
      <c r="P39" s="895"/>
      <c r="Q39" s="895"/>
      <c r="R39" s="895"/>
      <c r="S39" s="895"/>
      <c r="T39" s="895"/>
      <c r="U39" s="895"/>
      <c r="V39" s="895"/>
      <c r="W39" s="895"/>
      <c r="X39" s="895"/>
      <c r="Y39" s="895"/>
      <c r="Z39" s="895"/>
      <c r="AA39" s="895"/>
      <c r="AB39" s="895"/>
      <c r="AC39" s="895"/>
      <c r="AD39" s="895"/>
      <c r="AE39" s="895"/>
      <c r="AF39" s="895"/>
      <c r="AG39" s="895"/>
      <c r="AH39" s="895"/>
      <c r="AI39" s="895"/>
      <c r="AJ39" s="895"/>
      <c r="AK39" s="108"/>
      <c r="AL39" s="965">
        <v>0</v>
      </c>
      <c r="AM39" s="895"/>
      <c r="AN39" s="895"/>
      <c r="AO39" s="108"/>
      <c r="AP39" s="965"/>
      <c r="AQ39" s="895"/>
      <c r="AR39" s="895"/>
      <c r="AS39" s="108"/>
      <c r="AT39" s="107"/>
      <c r="AU39" s="895"/>
      <c r="AV39" s="259">
        <f t="shared" si="0"/>
        <v>0</v>
      </c>
      <c r="AW39" s="895"/>
      <c r="AX39" s="895"/>
      <c r="AY39" s="895"/>
      <c r="AZ39" s="968"/>
      <c r="BA39" s="975"/>
    </row>
    <row r="40" spans="1:53">
      <c r="A40" s="67" t="s">
        <v>353</v>
      </c>
      <c r="B40" s="895"/>
      <c r="C40" s="895"/>
      <c r="D40" s="936"/>
      <c r="E40" s="936"/>
      <c r="F40" s="895"/>
      <c r="G40" s="895"/>
      <c r="H40" s="895"/>
      <c r="I40" s="895"/>
      <c r="J40" s="895"/>
      <c r="K40" s="895"/>
      <c r="L40" s="895"/>
      <c r="M40" s="895"/>
      <c r="N40" s="895"/>
      <c r="O40" s="895"/>
      <c r="P40" s="895"/>
      <c r="Q40" s="895"/>
      <c r="R40" s="895"/>
      <c r="S40" s="895"/>
      <c r="T40" s="895"/>
      <c r="U40" s="895"/>
      <c r="V40" s="895"/>
      <c r="W40" s="895"/>
      <c r="X40" s="895"/>
      <c r="Y40" s="895"/>
      <c r="Z40" s="895"/>
      <c r="AA40" s="895"/>
      <c r="AB40" s="895"/>
      <c r="AC40" s="895"/>
      <c r="AD40" s="895"/>
      <c r="AE40" s="895"/>
      <c r="AF40" s="895"/>
      <c r="AG40" s="895"/>
      <c r="AH40" s="895"/>
      <c r="AI40" s="895"/>
      <c r="AJ40" s="895"/>
      <c r="AK40" s="108"/>
      <c r="AL40" s="1032"/>
      <c r="AM40" s="1033"/>
      <c r="AN40" s="1025"/>
      <c r="AO40" s="962"/>
      <c r="AP40" s="965"/>
      <c r="AQ40" s="895"/>
      <c r="AR40" s="895"/>
      <c r="AS40" s="108"/>
      <c r="AT40" s="107"/>
      <c r="AU40" s="895"/>
      <c r="AV40" s="259">
        <f t="shared" si="0"/>
        <v>0</v>
      </c>
      <c r="AW40" s="895"/>
      <c r="AX40" s="895"/>
      <c r="AY40" s="895"/>
      <c r="AZ40" s="968"/>
      <c r="BA40" s="975"/>
    </row>
    <row r="41" spans="1:53" ht="13.5" thickBot="1">
      <c r="A41" s="181" t="s">
        <v>356</v>
      </c>
      <c r="B41" s="895"/>
      <c r="C41" s="895"/>
      <c r="D41" s="936"/>
      <c r="E41" s="936"/>
      <c r="F41" s="895"/>
      <c r="G41" s="895"/>
      <c r="H41" s="895"/>
      <c r="I41" s="895"/>
      <c r="J41" s="895"/>
      <c r="K41" s="895"/>
      <c r="L41" s="895"/>
      <c r="M41" s="895"/>
      <c r="N41" s="895"/>
      <c r="O41" s="895"/>
      <c r="P41" s="895"/>
      <c r="Q41" s="895"/>
      <c r="R41" s="895"/>
      <c r="S41" s="895"/>
      <c r="T41" s="895"/>
      <c r="U41" s="895"/>
      <c r="V41" s="895"/>
      <c r="W41" s="895"/>
      <c r="X41" s="895"/>
      <c r="Y41" s="895"/>
      <c r="Z41" s="895"/>
      <c r="AA41" s="895"/>
      <c r="AB41" s="895"/>
      <c r="AC41" s="895"/>
      <c r="AD41" s="895"/>
      <c r="AE41" s="895"/>
      <c r="AF41" s="895"/>
      <c r="AG41" s="895"/>
      <c r="AH41" s="895"/>
      <c r="AI41" s="895"/>
      <c r="AJ41" s="895"/>
      <c r="AK41" s="108"/>
      <c r="AL41" s="1032"/>
      <c r="AM41" s="1033"/>
      <c r="AN41" s="1025"/>
      <c r="AO41" s="962"/>
      <c r="AP41" s="965"/>
      <c r="AQ41" s="895"/>
      <c r="AR41" s="895"/>
      <c r="AS41" s="108"/>
      <c r="AT41" s="107"/>
      <c r="AU41" s="895"/>
      <c r="AV41" s="964">
        <f t="shared" si="0"/>
        <v>0</v>
      </c>
      <c r="AW41" s="895"/>
      <c r="AX41" s="895"/>
      <c r="AY41" s="895"/>
      <c r="AZ41" s="969"/>
      <c r="BA41" s="977"/>
    </row>
    <row r="42" spans="1:53" s="921" customFormat="1" ht="15" thickBot="1">
      <c r="A42" s="389" t="s">
        <v>54</v>
      </c>
      <c r="B42" s="937">
        <f>B32</f>
        <v>18649</v>
      </c>
      <c r="C42" s="937">
        <f>C32</f>
        <v>25688</v>
      </c>
      <c r="D42" s="939">
        <f>D32</f>
        <v>6967.37</v>
      </c>
      <c r="E42" s="939">
        <v>7195</v>
      </c>
      <c r="F42" s="937">
        <f>F35+F39</f>
        <v>0</v>
      </c>
      <c r="G42" s="937"/>
      <c r="H42" s="937">
        <f t="shared" ref="H42:T42" si="5">H32</f>
        <v>44461.73</v>
      </c>
      <c r="I42" s="937">
        <v>49525</v>
      </c>
      <c r="J42" s="937">
        <f t="shared" si="5"/>
        <v>2117.35</v>
      </c>
      <c r="K42" s="937">
        <f>K38</f>
        <v>2882</v>
      </c>
      <c r="L42" s="937">
        <f t="shared" si="5"/>
        <v>180.8</v>
      </c>
      <c r="M42" s="937">
        <v>532</v>
      </c>
      <c r="N42" s="937">
        <f t="shared" si="5"/>
        <v>4852.47</v>
      </c>
      <c r="O42" s="937">
        <f>O32</f>
        <v>7611</v>
      </c>
      <c r="P42" s="937">
        <v>1253</v>
      </c>
      <c r="Q42" s="937">
        <v>1781</v>
      </c>
      <c r="R42" s="937">
        <f t="shared" si="5"/>
        <v>49091</v>
      </c>
      <c r="S42" s="937">
        <v>57816</v>
      </c>
      <c r="T42" s="937">
        <f t="shared" si="5"/>
        <v>2068</v>
      </c>
      <c r="U42" s="937">
        <v>3209</v>
      </c>
      <c r="V42" s="937">
        <v>32466</v>
      </c>
      <c r="W42" s="937">
        <v>53931</v>
      </c>
      <c r="X42" s="937">
        <v>54038</v>
      </c>
      <c r="Y42" s="937">
        <v>78572</v>
      </c>
      <c r="Z42" s="937">
        <f t="shared" ref="Z42:AJ42" si="6">Z32</f>
        <v>789.47</v>
      </c>
      <c r="AA42" s="937">
        <v>1142</v>
      </c>
      <c r="AB42" s="937">
        <f t="shared" si="6"/>
        <v>1076.01</v>
      </c>
      <c r="AC42" s="937">
        <f>AC25</f>
        <v>1837.35</v>
      </c>
      <c r="AD42" s="937">
        <f t="shared" si="6"/>
        <v>9396.7000000000007</v>
      </c>
      <c r="AE42" s="937">
        <v>7254</v>
      </c>
      <c r="AF42" s="937">
        <f t="shared" si="6"/>
        <v>47424.33</v>
      </c>
      <c r="AG42" s="937">
        <f>AG19</f>
        <v>59685</v>
      </c>
      <c r="AH42" s="937">
        <f t="shared" si="6"/>
        <v>6599.75</v>
      </c>
      <c r="AI42" s="937">
        <f>AI22</f>
        <v>11792</v>
      </c>
      <c r="AJ42" s="937">
        <f t="shared" si="6"/>
        <v>5510.58</v>
      </c>
      <c r="AK42" s="963">
        <f>AK19</f>
        <v>7080</v>
      </c>
      <c r="AL42" s="966">
        <f>AL35+AL39</f>
        <v>0</v>
      </c>
      <c r="AM42" s="937"/>
      <c r="AN42" s="937">
        <f>AN32</f>
        <v>32407.59</v>
      </c>
      <c r="AO42" s="963">
        <v>33832</v>
      </c>
      <c r="AP42" s="966">
        <f>AP32</f>
        <v>5139.74</v>
      </c>
      <c r="AQ42" s="937">
        <f>AQ19</f>
        <v>7489</v>
      </c>
      <c r="AR42" s="937">
        <f>AR32</f>
        <v>1107.08</v>
      </c>
      <c r="AS42" s="970">
        <f>AS22</f>
        <v>1506</v>
      </c>
      <c r="AT42" s="966">
        <f>AT32</f>
        <v>45576.32</v>
      </c>
      <c r="AU42" s="937">
        <f>AU22</f>
        <v>49070</v>
      </c>
      <c r="AV42" s="971">
        <f t="shared" si="0"/>
        <v>791531.63999999978</v>
      </c>
      <c r="AW42" s="972"/>
      <c r="AX42" s="937"/>
      <c r="AY42" s="937"/>
      <c r="AZ42" s="971">
        <f t="shared" si="1"/>
        <v>791531.63999999978</v>
      </c>
      <c r="BA42" s="973"/>
    </row>
  </sheetData>
  <mergeCells count="26">
    <mergeCell ref="AL1:AM1"/>
    <mergeCell ref="AZ1:BA1"/>
    <mergeCell ref="AX1:AY1"/>
    <mergeCell ref="AV1:AW1"/>
    <mergeCell ref="AT1:AU1"/>
    <mergeCell ref="AR1:AS1"/>
    <mergeCell ref="AP1:AQ1"/>
    <mergeCell ref="AN1:AO1"/>
    <mergeCell ref="B1:C1"/>
    <mergeCell ref="D1:E1"/>
    <mergeCell ref="F1:G1"/>
    <mergeCell ref="H1:I1"/>
    <mergeCell ref="J1:K1"/>
    <mergeCell ref="L1:M1"/>
    <mergeCell ref="X1:Y1"/>
    <mergeCell ref="V1:W1"/>
    <mergeCell ref="T1:U1"/>
    <mergeCell ref="R1:S1"/>
    <mergeCell ref="P1:Q1"/>
    <mergeCell ref="N1:O1"/>
    <mergeCell ref="AJ1:AK1"/>
    <mergeCell ref="Z1:AA1"/>
    <mergeCell ref="AB1:AC1"/>
    <mergeCell ref="AD1:AE1"/>
    <mergeCell ref="AF1:AG1"/>
    <mergeCell ref="AH1:AI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21"/>
  <sheetViews>
    <sheetView workbookViewId="0">
      <pane xSplit="1" topLeftCell="B1" activePane="topRight" state="frozen"/>
      <selection pane="topRight" activeCell="A3" sqref="A1:XFD1048576"/>
    </sheetView>
  </sheetViews>
  <sheetFormatPr defaultRowHeight="13.5"/>
  <cols>
    <col min="1" max="1" width="23.7109375" style="58" bestFit="1" customWidth="1"/>
    <col min="2" max="53" width="12.85546875" style="58" bestFit="1" customWidth="1"/>
    <col min="54" max="16384" width="9.140625" style="58"/>
  </cols>
  <sheetData>
    <row r="1" spans="1:53">
      <c r="A1" s="1159" t="s">
        <v>242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1159"/>
      <c r="N1" s="1159"/>
      <c r="O1" s="1159"/>
      <c r="P1" s="1159"/>
      <c r="Q1" s="1159"/>
      <c r="R1" s="1159"/>
      <c r="S1" s="1159"/>
      <c r="T1" s="1159"/>
      <c r="U1" s="1159"/>
      <c r="V1" s="1159"/>
      <c r="W1" s="1159"/>
      <c r="X1" s="1159"/>
      <c r="Y1" s="1159"/>
      <c r="Z1" s="1159"/>
      <c r="AA1" s="1159"/>
      <c r="AB1" s="1159"/>
      <c r="AC1" s="1159"/>
      <c r="AD1" s="1159"/>
      <c r="AE1" s="1159"/>
      <c r="AF1" s="1159"/>
      <c r="AG1" s="1159"/>
      <c r="AH1" s="1159"/>
      <c r="AI1" s="1159"/>
      <c r="AJ1" s="1159"/>
      <c r="AK1" s="1159"/>
      <c r="AL1" s="1159"/>
      <c r="AM1" s="1159"/>
      <c r="AN1" s="1159"/>
      <c r="AO1" s="1159"/>
      <c r="AP1" s="1159"/>
      <c r="AQ1" s="1159"/>
      <c r="AR1" s="1159"/>
      <c r="AS1" s="1159"/>
      <c r="AT1" s="1159"/>
      <c r="AU1" s="1159"/>
      <c r="AV1" s="1159"/>
      <c r="AW1" s="1159"/>
      <c r="AX1" s="1159"/>
      <c r="AY1" s="1159"/>
      <c r="AZ1" s="1159"/>
    </row>
    <row r="2" spans="1:53" ht="14.25" thickBot="1">
      <c r="A2" s="1102" t="s">
        <v>148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  <c r="M2" s="1102"/>
      <c r="N2" s="1102"/>
      <c r="O2" s="1102"/>
      <c r="P2" s="1102"/>
      <c r="Q2" s="1102"/>
      <c r="R2" s="1102"/>
      <c r="S2" s="1102"/>
      <c r="T2" s="1102"/>
      <c r="U2" s="1102"/>
      <c r="V2" s="1102"/>
      <c r="W2" s="1102"/>
      <c r="X2" s="1102"/>
      <c r="Y2" s="1102"/>
      <c r="Z2" s="1102"/>
      <c r="AA2" s="1102"/>
      <c r="AB2" s="1102"/>
      <c r="AC2" s="1102"/>
      <c r="AD2" s="1102"/>
      <c r="AE2" s="1102"/>
      <c r="AF2" s="1102"/>
      <c r="AG2" s="1102"/>
      <c r="AH2" s="1102"/>
      <c r="AI2" s="1102"/>
      <c r="AJ2" s="1102"/>
      <c r="AK2" s="1102"/>
      <c r="AL2" s="1102"/>
      <c r="AM2" s="1102"/>
      <c r="AN2" s="1102"/>
      <c r="AO2" s="1102"/>
      <c r="AP2" s="1102"/>
      <c r="AQ2" s="1102"/>
      <c r="AR2" s="1102"/>
      <c r="AS2" s="1102"/>
      <c r="AT2" s="1102"/>
      <c r="AU2" s="1102"/>
      <c r="AV2" s="1102"/>
      <c r="AW2" s="1102"/>
      <c r="AX2" s="1102"/>
      <c r="AY2" s="1102"/>
      <c r="AZ2" s="1102"/>
    </row>
    <row r="3" spans="1:53" s="408" customFormat="1" ht="43.5" customHeight="1" thickBot="1">
      <c r="A3" s="1160" t="s">
        <v>0</v>
      </c>
      <c r="B3" s="1164" t="s">
        <v>150</v>
      </c>
      <c r="C3" s="1165"/>
      <c r="D3" s="1162" t="s">
        <v>151</v>
      </c>
      <c r="E3" s="1163"/>
      <c r="F3" s="1166" t="s">
        <v>152</v>
      </c>
      <c r="G3" s="1166"/>
      <c r="H3" s="1162" t="s">
        <v>153</v>
      </c>
      <c r="I3" s="1163"/>
      <c r="J3" s="1162" t="s">
        <v>154</v>
      </c>
      <c r="K3" s="1163"/>
      <c r="L3" s="1162" t="s">
        <v>155</v>
      </c>
      <c r="M3" s="1163"/>
      <c r="N3" s="1166" t="s">
        <v>255</v>
      </c>
      <c r="O3" s="1166"/>
      <c r="P3" s="1162" t="s">
        <v>156</v>
      </c>
      <c r="Q3" s="1163"/>
      <c r="R3" s="1162" t="s">
        <v>157</v>
      </c>
      <c r="S3" s="1166"/>
      <c r="T3" s="1162" t="s">
        <v>158</v>
      </c>
      <c r="U3" s="1163"/>
      <c r="V3" s="1162" t="s">
        <v>159</v>
      </c>
      <c r="W3" s="1163"/>
      <c r="X3" s="1162" t="s">
        <v>160</v>
      </c>
      <c r="Y3" s="1166"/>
      <c r="Z3" s="1162" t="s">
        <v>365</v>
      </c>
      <c r="AA3" s="1163"/>
      <c r="AB3" s="1166" t="s">
        <v>161</v>
      </c>
      <c r="AC3" s="1166"/>
      <c r="AD3" s="1157" t="s">
        <v>162</v>
      </c>
      <c r="AE3" s="1158"/>
      <c r="AF3" s="1166" t="s">
        <v>163</v>
      </c>
      <c r="AG3" s="1166"/>
      <c r="AH3" s="1162" t="s">
        <v>164</v>
      </c>
      <c r="AI3" s="1163"/>
      <c r="AJ3" s="1162" t="s">
        <v>165</v>
      </c>
      <c r="AK3" s="1166"/>
      <c r="AL3" s="1157" t="s">
        <v>166</v>
      </c>
      <c r="AM3" s="1158"/>
      <c r="AN3" s="1166" t="s">
        <v>167</v>
      </c>
      <c r="AO3" s="1163"/>
      <c r="AP3" s="1162" t="s">
        <v>168</v>
      </c>
      <c r="AQ3" s="1166"/>
      <c r="AR3" s="1162" t="s">
        <v>169</v>
      </c>
      <c r="AS3" s="1163"/>
      <c r="AT3" s="1166" t="s">
        <v>170</v>
      </c>
      <c r="AU3" s="1166"/>
      <c r="AV3" s="1162" t="s">
        <v>1</v>
      </c>
      <c r="AW3" s="1163"/>
      <c r="AX3" s="1167" t="s">
        <v>171</v>
      </c>
      <c r="AY3" s="1167"/>
      <c r="AZ3" s="1157" t="s">
        <v>2</v>
      </c>
      <c r="BA3" s="1158"/>
    </row>
    <row r="4" spans="1:53" s="270" customFormat="1" ht="15" thickBot="1">
      <c r="A4" s="1161"/>
      <c r="B4" s="344" t="s">
        <v>254</v>
      </c>
      <c r="C4" s="345" t="s">
        <v>358</v>
      </c>
      <c r="D4" s="344" t="s">
        <v>254</v>
      </c>
      <c r="E4" s="345" t="s">
        <v>358</v>
      </c>
      <c r="F4" s="344" t="s">
        <v>254</v>
      </c>
      <c r="G4" s="345" t="s">
        <v>358</v>
      </c>
      <c r="H4" s="344" t="s">
        <v>254</v>
      </c>
      <c r="I4" s="345" t="s">
        <v>358</v>
      </c>
      <c r="J4" s="344" t="s">
        <v>254</v>
      </c>
      <c r="K4" s="345" t="s">
        <v>358</v>
      </c>
      <c r="L4" s="344" t="s">
        <v>254</v>
      </c>
      <c r="M4" s="345" t="s">
        <v>358</v>
      </c>
      <c r="N4" s="344" t="s">
        <v>254</v>
      </c>
      <c r="O4" s="345" t="s">
        <v>358</v>
      </c>
      <c r="P4" s="344" t="s">
        <v>254</v>
      </c>
      <c r="Q4" s="345" t="s">
        <v>358</v>
      </c>
      <c r="R4" s="344" t="s">
        <v>254</v>
      </c>
      <c r="S4" s="345" t="s">
        <v>358</v>
      </c>
      <c r="T4" s="344" t="s">
        <v>254</v>
      </c>
      <c r="U4" s="345" t="s">
        <v>358</v>
      </c>
      <c r="V4" s="344" t="s">
        <v>254</v>
      </c>
      <c r="W4" s="345" t="s">
        <v>358</v>
      </c>
      <c r="X4" s="344" t="s">
        <v>254</v>
      </c>
      <c r="Y4" s="345" t="s">
        <v>358</v>
      </c>
      <c r="Z4" s="344" t="s">
        <v>254</v>
      </c>
      <c r="AA4" s="345" t="s">
        <v>358</v>
      </c>
      <c r="AB4" s="344" t="s">
        <v>254</v>
      </c>
      <c r="AC4" s="345" t="s">
        <v>358</v>
      </c>
      <c r="AD4" s="344" t="s">
        <v>254</v>
      </c>
      <c r="AE4" s="345" t="s">
        <v>358</v>
      </c>
      <c r="AF4" s="344" t="s">
        <v>254</v>
      </c>
      <c r="AG4" s="345" t="s">
        <v>358</v>
      </c>
      <c r="AH4" s="344" t="s">
        <v>254</v>
      </c>
      <c r="AI4" s="345" t="s">
        <v>358</v>
      </c>
      <c r="AJ4" s="344" t="s">
        <v>254</v>
      </c>
      <c r="AK4" s="345" t="s">
        <v>358</v>
      </c>
      <c r="AL4" s="344" t="s">
        <v>254</v>
      </c>
      <c r="AM4" s="345" t="s">
        <v>358</v>
      </c>
      <c r="AN4" s="344" t="s">
        <v>254</v>
      </c>
      <c r="AO4" s="345" t="s">
        <v>358</v>
      </c>
      <c r="AP4" s="344" t="s">
        <v>254</v>
      </c>
      <c r="AQ4" s="345" t="s">
        <v>358</v>
      </c>
      <c r="AR4" s="344" t="s">
        <v>254</v>
      </c>
      <c r="AS4" s="345" t="s">
        <v>358</v>
      </c>
      <c r="AT4" s="344" t="s">
        <v>254</v>
      </c>
      <c r="AU4" s="345" t="s">
        <v>358</v>
      </c>
      <c r="AV4" s="344" t="s">
        <v>254</v>
      </c>
      <c r="AW4" s="345" t="s">
        <v>358</v>
      </c>
      <c r="AX4" s="344" t="s">
        <v>254</v>
      </c>
      <c r="AY4" s="345" t="s">
        <v>358</v>
      </c>
      <c r="AZ4" s="344" t="s">
        <v>254</v>
      </c>
      <c r="BA4" s="345" t="s">
        <v>358</v>
      </c>
    </row>
    <row r="5" spans="1:53" s="61" customFormat="1" ht="15" customHeight="1">
      <c r="A5" s="65" t="s">
        <v>3</v>
      </c>
      <c r="B5" s="221">
        <v>24</v>
      </c>
      <c r="C5" s="223">
        <v>17.989999999999998</v>
      </c>
      <c r="D5" s="221"/>
      <c r="E5" s="223"/>
      <c r="F5" s="225">
        <v>0.05</v>
      </c>
      <c r="G5" s="224">
        <v>0.1</v>
      </c>
      <c r="H5" s="221">
        <v>8</v>
      </c>
      <c r="I5" s="223">
        <v>7.22</v>
      </c>
      <c r="J5" s="549"/>
      <c r="K5" s="724"/>
      <c r="L5" s="221"/>
      <c r="M5" s="223"/>
      <c r="N5" s="225">
        <v>6.0000000000000001E-3</v>
      </c>
      <c r="O5" s="224"/>
      <c r="P5" s="221">
        <v>0.06</v>
      </c>
      <c r="Q5" s="223">
        <v>3.0000000000000001E-3</v>
      </c>
      <c r="R5" s="568"/>
      <c r="S5" s="747"/>
      <c r="T5" s="221">
        <v>0.03</v>
      </c>
      <c r="U5" s="223">
        <v>2.0099999999999998</v>
      </c>
      <c r="V5" s="221">
        <v>130.51</v>
      </c>
      <c r="W5" s="223">
        <v>0.34</v>
      </c>
      <c r="X5" s="222">
        <v>4</v>
      </c>
      <c r="Y5" s="224">
        <v>6.59</v>
      </c>
      <c r="Z5" s="221"/>
      <c r="AA5" s="223"/>
      <c r="AB5" s="750"/>
      <c r="AC5" s="753"/>
      <c r="AD5" s="221"/>
      <c r="AE5" s="223">
        <v>0.43</v>
      </c>
      <c r="AF5" s="225">
        <v>1.6</v>
      </c>
      <c r="AG5" s="224">
        <v>0.05</v>
      </c>
      <c r="AH5" s="221">
        <v>0.15</v>
      </c>
      <c r="AI5" s="223">
        <v>0.12</v>
      </c>
      <c r="AJ5" s="222"/>
      <c r="AK5" s="224"/>
      <c r="AL5" s="221"/>
      <c r="AM5" s="223"/>
      <c r="AN5" s="1015">
        <v>27.52</v>
      </c>
      <c r="AO5" s="1016">
        <v>64.010000000000005</v>
      </c>
      <c r="AP5" s="222"/>
      <c r="AQ5" s="224"/>
      <c r="AR5" s="221">
        <v>2.8E-3</v>
      </c>
      <c r="AS5" s="223"/>
      <c r="AT5" s="761">
        <v>0.88</v>
      </c>
      <c r="AU5" s="747">
        <v>1.73</v>
      </c>
      <c r="AV5" s="219">
        <f t="shared" ref="AV5:AV14" si="0">SUM(B5+D5+F5+H5+J5+L5+N5+P5+R5+T5+V5+X5+Z5+P5+AD5+AF5+AH5+AJ5+AL5+AN5+AP5+AR5+B5)</f>
        <v>219.98880000000003</v>
      </c>
      <c r="AW5" s="730">
        <f t="shared" ref="AW5:AW14" si="1">SUM(C5+E5+G5+I5+K5+M5+O5+Q5+S5+U5+W5+Y5+AA5+Q5+AE5+AG5+AI5+AK5+AM5+AO5+AQ5+AS5+C5)</f>
        <v>116.85599999999999</v>
      </c>
      <c r="AX5" s="225"/>
      <c r="AY5" s="224"/>
      <c r="AZ5" s="219">
        <f t="shared" ref="AZ5:AZ14" si="2">AV5+AX5</f>
        <v>219.98880000000003</v>
      </c>
      <c r="BA5" s="220">
        <f t="shared" ref="BA5:BA14" si="3">AW5+AY5</f>
        <v>116.85599999999999</v>
      </c>
    </row>
    <row r="6" spans="1:53" s="61" customFormat="1">
      <c r="A6" s="65" t="s">
        <v>4</v>
      </c>
      <c r="B6" s="4">
        <v>-11</v>
      </c>
      <c r="C6" s="223">
        <v>0.39</v>
      </c>
      <c r="D6" s="4"/>
      <c r="E6" s="6"/>
      <c r="F6" s="21">
        <v>7.0000000000000007E-2</v>
      </c>
      <c r="G6" s="224">
        <v>1.91</v>
      </c>
      <c r="H6" s="4">
        <v>264</v>
      </c>
      <c r="I6" s="223">
        <v>433.94</v>
      </c>
      <c r="J6" s="233">
        <v>4.7</v>
      </c>
      <c r="K6" s="245">
        <v>3.83</v>
      </c>
      <c r="L6" s="4">
        <v>141.96</v>
      </c>
      <c r="M6" s="6">
        <v>173.33</v>
      </c>
      <c r="N6" s="21"/>
      <c r="O6" s="62"/>
      <c r="P6" s="4">
        <v>1.63</v>
      </c>
      <c r="Q6" s="61">
        <v>4.18</v>
      </c>
      <c r="R6" s="244">
        <v>0.11</v>
      </c>
      <c r="S6" s="6">
        <v>0.1</v>
      </c>
      <c r="T6" s="4">
        <v>8.5</v>
      </c>
      <c r="U6" s="223">
        <v>7.42</v>
      </c>
      <c r="V6" s="221">
        <v>443.06</v>
      </c>
      <c r="W6" s="6">
        <v>736.07</v>
      </c>
      <c r="X6" s="5">
        <v>172</v>
      </c>
      <c r="Y6" s="224">
        <v>430.82</v>
      </c>
      <c r="Z6" s="56">
        <v>24.2</v>
      </c>
      <c r="AA6" s="432">
        <v>48.41</v>
      </c>
      <c r="AB6" s="751">
        <v>54.36</v>
      </c>
      <c r="AC6" s="754">
        <v>98.05</v>
      </c>
      <c r="AD6" s="4">
        <v>44.68</v>
      </c>
      <c r="AE6" s="223">
        <v>96.5</v>
      </c>
      <c r="AF6" s="21">
        <v>103.53</v>
      </c>
      <c r="AG6" s="224">
        <v>280.60000000000002</v>
      </c>
      <c r="AH6" s="4">
        <v>80.7</v>
      </c>
      <c r="AI6" s="6">
        <v>125.25</v>
      </c>
      <c r="AJ6" s="5"/>
      <c r="AK6" s="62"/>
      <c r="AL6" s="4"/>
      <c r="AM6" s="6"/>
      <c r="AN6" s="1017">
        <v>1644.44</v>
      </c>
      <c r="AO6" s="1018">
        <v>1195.6300000000001</v>
      </c>
      <c r="AP6" s="63"/>
      <c r="AQ6" s="759"/>
      <c r="AR6" s="64">
        <v>103.07</v>
      </c>
      <c r="AS6" s="762">
        <v>130.29</v>
      </c>
      <c r="AT6" s="751">
        <v>0.03</v>
      </c>
      <c r="AU6" s="763">
        <v>1.21</v>
      </c>
      <c r="AV6" s="219">
        <f t="shared" si="0"/>
        <v>3016.28</v>
      </c>
      <c r="AW6" s="730" t="e">
        <f>SUM(C6+E6+G6+I6+K6+M6+O6+S6+#REF!+U6+W6+Y6+AA6+S6+AE6+AG6+AI6+AK6+AM6+AO6+AQ6+AS6+C6)</f>
        <v>#REF!</v>
      </c>
      <c r="AX6" s="764"/>
      <c r="AY6" s="224"/>
      <c r="AZ6" s="53">
        <f t="shared" si="2"/>
        <v>3016.28</v>
      </c>
      <c r="BA6" s="60" t="e">
        <f t="shared" si="3"/>
        <v>#REF!</v>
      </c>
    </row>
    <row r="7" spans="1:53" s="61" customFormat="1">
      <c r="A7" s="65" t="s">
        <v>5</v>
      </c>
      <c r="B7" s="4">
        <v>42</v>
      </c>
      <c r="C7" s="223">
        <v>64.16</v>
      </c>
      <c r="D7" s="4">
        <v>1.82</v>
      </c>
      <c r="E7" s="6">
        <v>-0.02</v>
      </c>
      <c r="F7" s="21"/>
      <c r="G7" s="224"/>
      <c r="H7" s="4">
        <v>13</v>
      </c>
      <c r="I7" s="223">
        <v>20.350000000000001</v>
      </c>
      <c r="J7" s="233">
        <v>0.04</v>
      </c>
      <c r="K7" s="245">
        <v>1.62</v>
      </c>
      <c r="L7" s="4">
        <v>3.09</v>
      </c>
      <c r="M7" s="6">
        <v>13.67</v>
      </c>
      <c r="N7" s="21">
        <v>18.05</v>
      </c>
      <c r="O7" s="62">
        <v>37.97</v>
      </c>
      <c r="P7" s="4"/>
      <c r="R7" s="244"/>
      <c r="S7" s="6"/>
      <c r="T7" s="4"/>
      <c r="U7" s="223">
        <v>0.08</v>
      </c>
      <c r="V7" s="221">
        <v>323.49</v>
      </c>
      <c r="W7" s="6">
        <v>651.24</v>
      </c>
      <c r="X7" s="5">
        <v>44</v>
      </c>
      <c r="Y7" s="224">
        <v>156.49</v>
      </c>
      <c r="Z7" s="56"/>
      <c r="AA7" s="432"/>
      <c r="AB7" s="751"/>
      <c r="AC7" s="754"/>
      <c r="AD7" s="4">
        <v>40.659999999999997</v>
      </c>
      <c r="AE7" s="223">
        <v>90.42</v>
      </c>
      <c r="AF7" s="21">
        <v>2.46</v>
      </c>
      <c r="AG7" s="224">
        <v>2.76</v>
      </c>
      <c r="AH7" s="4">
        <v>0.02</v>
      </c>
      <c r="AI7" s="6"/>
      <c r="AJ7" s="5"/>
      <c r="AK7" s="62"/>
      <c r="AL7" s="4"/>
      <c r="AM7" s="6"/>
      <c r="AN7" s="1017">
        <v>1.34</v>
      </c>
      <c r="AO7" s="1018">
        <v>1.32</v>
      </c>
      <c r="AP7" s="63">
        <v>17.21</v>
      </c>
      <c r="AQ7" s="759">
        <v>32.28</v>
      </c>
      <c r="AR7" s="64"/>
      <c r="AS7" s="762"/>
      <c r="AT7" s="751"/>
      <c r="AU7" s="763"/>
      <c r="AV7" s="219">
        <f t="shared" si="0"/>
        <v>549.17999999999984</v>
      </c>
      <c r="AW7" s="730" t="e">
        <f>SUM(C7+E7+G7+I7+K7+M7+O7+S7+#REF!+U7+W7+Y7+AA7+S7+AE7+AG7+AI7+AK7+AM7+AO7+AQ7+AS7+C7)</f>
        <v>#REF!</v>
      </c>
      <c r="AX7" s="764"/>
      <c r="AY7" s="224"/>
      <c r="AZ7" s="53">
        <f t="shared" si="2"/>
        <v>549.17999999999984</v>
      </c>
      <c r="BA7" s="60" t="e">
        <f t="shared" si="3"/>
        <v>#REF!</v>
      </c>
    </row>
    <row r="8" spans="1:53" s="61" customFormat="1">
      <c r="A8" s="65" t="s">
        <v>6</v>
      </c>
      <c r="B8" s="4">
        <v>45</v>
      </c>
      <c r="C8" s="223">
        <v>87.67</v>
      </c>
      <c r="D8" s="4">
        <v>5.39</v>
      </c>
      <c r="E8" s="6">
        <v>4.18</v>
      </c>
      <c r="F8" s="21">
        <v>12.84</v>
      </c>
      <c r="G8" s="224">
        <v>27.2</v>
      </c>
      <c r="H8" s="4">
        <v>21</v>
      </c>
      <c r="I8" s="223">
        <v>37.979999999999997</v>
      </c>
      <c r="J8" s="233"/>
      <c r="K8" s="245">
        <v>0.32</v>
      </c>
      <c r="L8" s="4">
        <v>12.89</v>
      </c>
      <c r="M8" s="6">
        <v>2.1800000000000002</v>
      </c>
      <c r="N8" s="21">
        <v>9.69</v>
      </c>
      <c r="O8" s="62">
        <v>16.41</v>
      </c>
      <c r="P8" s="4">
        <v>1.66</v>
      </c>
      <c r="Q8" s="61">
        <v>0.74</v>
      </c>
      <c r="R8" s="244">
        <v>18.18</v>
      </c>
      <c r="S8" s="6">
        <v>68.58</v>
      </c>
      <c r="T8" s="4">
        <v>7.06</v>
      </c>
      <c r="U8" s="223">
        <v>2.81</v>
      </c>
      <c r="V8" s="221">
        <v>39.659999999999997</v>
      </c>
      <c r="W8" s="6">
        <v>117.26</v>
      </c>
      <c r="X8" s="5">
        <v>76</v>
      </c>
      <c r="Y8" s="224">
        <v>221.02</v>
      </c>
      <c r="Z8" s="56"/>
      <c r="AA8" s="432"/>
      <c r="AB8" s="751">
        <v>13.2</v>
      </c>
      <c r="AC8" s="754">
        <v>34.9</v>
      </c>
      <c r="AD8" s="4">
        <v>25.51</v>
      </c>
      <c r="AE8" s="223">
        <v>37.159999999999997</v>
      </c>
      <c r="AF8" s="21">
        <v>20.93</v>
      </c>
      <c r="AG8" s="224">
        <v>3.45</v>
      </c>
      <c r="AH8" s="4">
        <v>21.06</v>
      </c>
      <c r="AI8" s="6">
        <v>49</v>
      </c>
      <c r="AJ8" s="5">
        <v>0.03</v>
      </c>
      <c r="AK8" s="62">
        <v>0.23</v>
      </c>
      <c r="AL8" s="4"/>
      <c r="AM8" s="6"/>
      <c r="AN8" s="1017">
        <v>31.77</v>
      </c>
      <c r="AO8" s="1018">
        <v>43.76</v>
      </c>
      <c r="AP8" s="63">
        <v>0.19</v>
      </c>
      <c r="AQ8" s="759">
        <v>30.08</v>
      </c>
      <c r="AR8" s="64">
        <v>1.1599999999999999</v>
      </c>
      <c r="AS8" s="762">
        <v>4.3899999999999997</v>
      </c>
      <c r="AT8" s="751">
        <v>5.15</v>
      </c>
      <c r="AU8" s="763">
        <v>17.75</v>
      </c>
      <c r="AV8" s="219">
        <f t="shared" si="0"/>
        <v>396.68</v>
      </c>
      <c r="AW8" s="730" t="e">
        <f>SUM(C8+E8+G8+I8+K8+M8+O8+S8+#REF!+U8+W8+Y8+AA8+S8+AE8+AG8+AI8+AK8+AM8+AO8+AQ8+AS8+C8)</f>
        <v>#REF!</v>
      </c>
      <c r="AX8" s="764"/>
      <c r="AY8" s="224"/>
      <c r="AZ8" s="53">
        <f t="shared" si="2"/>
        <v>396.68</v>
      </c>
      <c r="BA8" s="60" t="e">
        <f t="shared" si="3"/>
        <v>#REF!</v>
      </c>
    </row>
    <row r="9" spans="1:53" s="61" customFormat="1">
      <c r="A9" s="65" t="s">
        <v>7</v>
      </c>
      <c r="B9" s="4"/>
      <c r="C9" s="223"/>
      <c r="D9" s="4"/>
      <c r="E9" s="6"/>
      <c r="F9" s="21"/>
      <c r="G9" s="224"/>
      <c r="H9" s="4">
        <v>14</v>
      </c>
      <c r="I9" s="223">
        <v>42.67</v>
      </c>
      <c r="J9" s="233"/>
      <c r="K9" s="245"/>
      <c r="L9" s="4"/>
      <c r="M9" s="6"/>
      <c r="N9" s="21">
        <v>0.91</v>
      </c>
      <c r="O9" s="62">
        <v>1.05</v>
      </c>
      <c r="P9" s="4"/>
      <c r="R9" s="244"/>
      <c r="S9" s="6"/>
      <c r="T9" s="4"/>
      <c r="U9" s="223"/>
      <c r="V9" s="221">
        <v>2.72</v>
      </c>
      <c r="W9" s="6">
        <v>12.85</v>
      </c>
      <c r="X9" s="5"/>
      <c r="Y9" s="224"/>
      <c r="Z9" s="56"/>
      <c r="AA9" s="432"/>
      <c r="AB9" s="751"/>
      <c r="AC9" s="754"/>
      <c r="AD9" s="4">
        <v>17.47</v>
      </c>
      <c r="AE9" s="223">
        <v>52.21</v>
      </c>
      <c r="AF9" s="21"/>
      <c r="AG9" s="224"/>
      <c r="AH9" s="4"/>
      <c r="AI9" s="6"/>
      <c r="AJ9" s="5"/>
      <c r="AK9" s="62"/>
      <c r="AL9" s="4"/>
      <c r="AM9" s="6"/>
      <c r="AN9" s="1017"/>
      <c r="AO9" s="1018"/>
      <c r="AP9" s="63"/>
      <c r="AQ9" s="759"/>
      <c r="AR9" s="64"/>
      <c r="AS9" s="762"/>
      <c r="AT9" s="751"/>
      <c r="AU9" s="763"/>
      <c r="AV9" s="219">
        <f t="shared" si="0"/>
        <v>35.099999999999994</v>
      </c>
      <c r="AW9" s="730" t="e">
        <f>SUM(C9+E9+G9+I9+K9+M9+O9+S9+#REF!+U9+W9+Y9+AA9+S9+AE9+AG9+AI9+AK9+AM9+AO9+AQ9+AS9+C9)</f>
        <v>#REF!</v>
      </c>
      <c r="AX9" s="764"/>
      <c r="AY9" s="224"/>
      <c r="AZ9" s="53">
        <f t="shared" si="2"/>
        <v>35.099999999999994</v>
      </c>
      <c r="BA9" s="60" t="e">
        <f t="shared" si="3"/>
        <v>#REF!</v>
      </c>
    </row>
    <row r="10" spans="1:53" s="61" customFormat="1">
      <c r="A10" s="65" t="s">
        <v>8</v>
      </c>
      <c r="B10" s="4">
        <v>1108</v>
      </c>
      <c r="C10" s="223">
        <v>1173.23</v>
      </c>
      <c r="D10" s="4">
        <v>0.62</v>
      </c>
      <c r="E10" s="6">
        <v>1.02</v>
      </c>
      <c r="F10" s="21">
        <v>19.79</v>
      </c>
      <c r="G10" s="224">
        <v>17.45</v>
      </c>
      <c r="H10" s="4">
        <v>907</v>
      </c>
      <c r="I10" s="223">
        <v>1564.52</v>
      </c>
      <c r="J10" s="233">
        <v>44.55</v>
      </c>
      <c r="K10" s="245">
        <v>68.45</v>
      </c>
      <c r="L10" s="4">
        <v>308.66000000000003</v>
      </c>
      <c r="M10" s="6">
        <v>505.19</v>
      </c>
      <c r="N10" s="21">
        <v>7.38</v>
      </c>
      <c r="O10" s="62">
        <v>15.04</v>
      </c>
      <c r="P10" s="4">
        <v>3.92</v>
      </c>
      <c r="Q10" s="61">
        <v>8.42</v>
      </c>
      <c r="R10" s="244">
        <v>7.42</v>
      </c>
      <c r="S10" s="6">
        <v>14.67</v>
      </c>
      <c r="T10" s="4">
        <v>17.5</v>
      </c>
      <c r="U10" s="223">
        <v>49.82</v>
      </c>
      <c r="V10" s="221">
        <v>3390.86</v>
      </c>
      <c r="W10" s="6">
        <v>3874</v>
      </c>
      <c r="X10" s="5">
        <v>1609</v>
      </c>
      <c r="Y10" s="224">
        <v>1918.56</v>
      </c>
      <c r="Z10" s="56">
        <v>3.41</v>
      </c>
      <c r="AA10" s="432">
        <v>6.59</v>
      </c>
      <c r="AB10" s="751">
        <v>477.66</v>
      </c>
      <c r="AC10" s="754">
        <v>437.78</v>
      </c>
      <c r="AD10" s="756">
        <v>578.98</v>
      </c>
      <c r="AE10" s="223">
        <v>818.13</v>
      </c>
      <c r="AF10" s="21">
        <v>29.07</v>
      </c>
      <c r="AG10" s="224">
        <v>57.11</v>
      </c>
      <c r="AH10" s="4">
        <v>12.41</v>
      </c>
      <c r="AI10" s="6">
        <v>59.42</v>
      </c>
      <c r="AJ10" s="5">
        <v>14.52</v>
      </c>
      <c r="AK10" s="62">
        <v>88.29</v>
      </c>
      <c r="AL10" s="4"/>
      <c r="AM10" s="6"/>
      <c r="AN10" s="1017">
        <v>3086.77</v>
      </c>
      <c r="AO10" s="1018">
        <v>2508.7399999999998</v>
      </c>
      <c r="AP10" s="63">
        <v>26.65</v>
      </c>
      <c r="AQ10" s="759">
        <v>76</v>
      </c>
      <c r="AR10" s="64">
        <v>0.68</v>
      </c>
      <c r="AS10" s="762">
        <v>203.79</v>
      </c>
      <c r="AT10" s="751">
        <v>42.52</v>
      </c>
      <c r="AU10" s="763">
        <v>67.89</v>
      </c>
      <c r="AV10" s="219">
        <f t="shared" si="0"/>
        <v>12289.11</v>
      </c>
      <c r="AW10" s="730" t="e">
        <f>SUM(C10+E10+G10+I10+K10+M10+O10+S10+#REF!+U10+W10+Y10+AA10+S10+AE10+AG10+AI10+AK10+AM10+AO10+AQ10+AS10+C10)</f>
        <v>#REF!</v>
      </c>
      <c r="AX10" s="21"/>
      <c r="AY10" s="224"/>
      <c r="AZ10" s="53">
        <f t="shared" si="2"/>
        <v>12289.11</v>
      </c>
      <c r="BA10" s="60" t="e">
        <f t="shared" si="3"/>
        <v>#REF!</v>
      </c>
    </row>
    <row r="11" spans="1:53" s="61" customFormat="1" ht="14.25" thickBot="1">
      <c r="A11" s="65" t="s">
        <v>9</v>
      </c>
      <c r="B11" s="53"/>
      <c r="C11" s="60"/>
      <c r="D11" s="4"/>
      <c r="E11" s="6"/>
      <c r="F11" s="21"/>
      <c r="G11" s="62"/>
      <c r="H11" s="4"/>
      <c r="I11" s="6"/>
      <c r="J11" s="4"/>
      <c r="K11" s="6"/>
      <c r="L11" s="4"/>
      <c r="M11" s="6"/>
      <c r="N11" s="21"/>
      <c r="O11" s="62"/>
      <c r="P11" s="4"/>
      <c r="Q11" s="6"/>
      <c r="R11" s="5"/>
      <c r="S11" s="62"/>
      <c r="T11" s="4"/>
      <c r="U11" s="6"/>
      <c r="V11" s="4"/>
      <c r="W11" s="6"/>
      <c r="X11" s="5"/>
      <c r="Y11" s="62">
        <f>1.86+0.04+3.57</f>
        <v>5.47</v>
      </c>
      <c r="Z11" s="56"/>
      <c r="AA11" s="432"/>
      <c r="AB11" s="751"/>
      <c r="AC11" s="754"/>
      <c r="AD11" s="756"/>
      <c r="AE11" s="757"/>
      <c r="AF11" s="21"/>
      <c r="AG11" s="62"/>
      <c r="AH11" s="4"/>
      <c r="AI11" s="223"/>
      <c r="AJ11" s="5"/>
      <c r="AK11" s="62"/>
      <c r="AL11" s="4"/>
      <c r="AM11" s="6"/>
      <c r="AN11" s="758"/>
      <c r="AO11" s="582"/>
      <c r="AP11" s="63"/>
      <c r="AQ11" s="759"/>
      <c r="AR11" s="64"/>
      <c r="AS11" s="762"/>
      <c r="AT11" s="21"/>
      <c r="AU11" s="62"/>
      <c r="AV11" s="219">
        <f t="shared" si="0"/>
        <v>0</v>
      </c>
      <c r="AW11" s="730">
        <f t="shared" si="1"/>
        <v>5.47</v>
      </c>
      <c r="AX11" s="21"/>
      <c r="AY11" s="62"/>
      <c r="AZ11" s="53">
        <f t="shared" si="2"/>
        <v>0</v>
      </c>
      <c r="BA11" s="60">
        <f t="shared" si="3"/>
        <v>5.47</v>
      </c>
    </row>
    <row r="12" spans="1:53" s="278" customFormat="1">
      <c r="A12" s="268" t="s">
        <v>10</v>
      </c>
      <c r="B12" s="271">
        <f>SUM(B5:B11)</f>
        <v>1208</v>
      </c>
      <c r="C12" s="273">
        <f t="shared" ref="C12:Q12" si="4">SUM(C5:C11)</f>
        <v>1343.44</v>
      </c>
      <c r="D12" s="271">
        <f t="shared" si="4"/>
        <v>7.83</v>
      </c>
      <c r="E12" s="273">
        <f t="shared" si="4"/>
        <v>5.18</v>
      </c>
      <c r="F12" s="272">
        <f t="shared" si="4"/>
        <v>32.75</v>
      </c>
      <c r="G12" s="274">
        <f t="shared" si="4"/>
        <v>46.66</v>
      </c>
      <c r="H12" s="271">
        <f t="shared" si="4"/>
        <v>1227</v>
      </c>
      <c r="I12" s="273">
        <f t="shared" si="4"/>
        <v>2106.6800000000003</v>
      </c>
      <c r="J12" s="271">
        <f t="shared" si="4"/>
        <v>49.29</v>
      </c>
      <c r="K12" s="277">
        <f t="shared" si="4"/>
        <v>74.22</v>
      </c>
      <c r="L12" s="271">
        <f t="shared" si="4"/>
        <v>466.6</v>
      </c>
      <c r="M12" s="273">
        <f t="shared" si="4"/>
        <v>694.37</v>
      </c>
      <c r="N12" s="272">
        <f t="shared" si="4"/>
        <v>36.036000000000001</v>
      </c>
      <c r="O12" s="276">
        <f t="shared" si="4"/>
        <v>70.47</v>
      </c>
      <c r="P12" s="271">
        <f t="shared" si="4"/>
        <v>7.27</v>
      </c>
      <c r="Q12" s="273">
        <f t="shared" si="4"/>
        <v>13.343</v>
      </c>
      <c r="R12" s="275">
        <f t="shared" ref="R12:AI12" si="5">SUM(R5:R11)</f>
        <v>25.71</v>
      </c>
      <c r="S12" s="276">
        <f t="shared" si="5"/>
        <v>83.35</v>
      </c>
      <c r="T12" s="271">
        <f t="shared" si="5"/>
        <v>33.090000000000003</v>
      </c>
      <c r="U12" s="273">
        <f t="shared" si="5"/>
        <v>62.14</v>
      </c>
      <c r="V12" s="271">
        <f t="shared" si="5"/>
        <v>4330.3</v>
      </c>
      <c r="W12" s="273">
        <f t="shared" si="5"/>
        <v>5391.76</v>
      </c>
      <c r="X12" s="272">
        <f t="shared" si="5"/>
        <v>1905</v>
      </c>
      <c r="Y12" s="274">
        <f t="shared" si="5"/>
        <v>2738.95</v>
      </c>
      <c r="Z12" s="271">
        <f t="shared" si="5"/>
        <v>27.61</v>
      </c>
      <c r="AA12" s="273">
        <f t="shared" si="5"/>
        <v>55</v>
      </c>
      <c r="AB12" s="272">
        <f t="shared" si="5"/>
        <v>545.22</v>
      </c>
      <c r="AC12" s="276">
        <f t="shared" si="5"/>
        <v>570.73</v>
      </c>
      <c r="AD12" s="271">
        <f t="shared" si="5"/>
        <v>707.3</v>
      </c>
      <c r="AE12" s="273">
        <f t="shared" si="5"/>
        <v>1094.8499999999999</v>
      </c>
      <c r="AF12" s="272">
        <f t="shared" si="5"/>
        <v>157.58999999999997</v>
      </c>
      <c r="AG12" s="274">
        <f t="shared" si="5"/>
        <v>343.97</v>
      </c>
      <c r="AH12" s="271">
        <f>SUM(AH5:AH11)</f>
        <v>114.34</v>
      </c>
      <c r="AI12" s="273">
        <f t="shared" si="5"/>
        <v>233.79000000000002</v>
      </c>
      <c r="AJ12" s="272">
        <f t="shared" ref="AJ12:AU12" si="6">SUM(AJ5:AJ11)</f>
        <v>14.549999999999999</v>
      </c>
      <c r="AK12" s="274">
        <f t="shared" si="6"/>
        <v>88.52000000000001</v>
      </c>
      <c r="AL12" s="271">
        <f t="shared" si="6"/>
        <v>0</v>
      </c>
      <c r="AM12" s="273">
        <f t="shared" si="6"/>
        <v>0</v>
      </c>
      <c r="AN12" s="581">
        <f t="shared" si="6"/>
        <v>4791.84</v>
      </c>
      <c r="AO12" s="581">
        <f t="shared" si="6"/>
        <v>3813.46</v>
      </c>
      <c r="AP12" s="272">
        <f t="shared" si="6"/>
        <v>44.05</v>
      </c>
      <c r="AQ12" s="274">
        <f t="shared" si="6"/>
        <v>138.36000000000001</v>
      </c>
      <c r="AR12" s="271">
        <f t="shared" si="6"/>
        <v>104.91279999999999</v>
      </c>
      <c r="AS12" s="273">
        <f t="shared" si="6"/>
        <v>338.46999999999997</v>
      </c>
      <c r="AT12" s="272">
        <f t="shared" si="6"/>
        <v>48.580000000000005</v>
      </c>
      <c r="AU12" s="276">
        <f t="shared" si="6"/>
        <v>88.58</v>
      </c>
      <c r="AV12" s="219">
        <f t="shared" si="0"/>
        <v>16506.338799999998</v>
      </c>
      <c r="AW12" s="730">
        <f t="shared" si="1"/>
        <v>20093.766000000003</v>
      </c>
      <c r="AX12" s="765">
        <f>SUM(AX5:AX11)</f>
        <v>0</v>
      </c>
      <c r="AY12" s="768">
        <f>SUM(AY5:AY11)</f>
        <v>0</v>
      </c>
      <c r="AZ12" s="271">
        <f t="shared" si="2"/>
        <v>16506.338799999998</v>
      </c>
      <c r="BA12" s="277">
        <f t="shared" si="3"/>
        <v>20093.766000000003</v>
      </c>
    </row>
    <row r="13" spans="1:53" s="61" customFormat="1" ht="14.25" thickBot="1">
      <c r="A13" s="65" t="s">
        <v>11</v>
      </c>
      <c r="B13" s="648"/>
      <c r="C13" s="649"/>
      <c r="D13" s="653"/>
      <c r="E13" s="654"/>
      <c r="F13" s="650"/>
      <c r="G13" s="652"/>
      <c r="H13" s="653"/>
      <c r="I13" s="654"/>
      <c r="J13" s="699"/>
      <c r="K13" s="725"/>
      <c r="L13" s="653"/>
      <c r="M13" s="654"/>
      <c r="N13" s="650"/>
      <c r="O13" s="652"/>
      <c r="P13" s="653"/>
      <c r="Q13" s="654"/>
      <c r="R13" s="728"/>
      <c r="S13" s="748"/>
      <c r="T13" s="655"/>
      <c r="U13" s="657"/>
      <c r="V13" s="655"/>
      <c r="W13" s="657"/>
      <c r="X13" s="656"/>
      <c r="Y13" s="658"/>
      <c r="Z13" s="655"/>
      <c r="AA13" s="657"/>
      <c r="AB13" s="752"/>
      <c r="AC13" s="755"/>
      <c r="AD13" s="653"/>
      <c r="AE13" s="654"/>
      <c r="AF13" s="650"/>
      <c r="AG13" s="652"/>
      <c r="AH13" s="653">
        <v>3.0000000000000001E-3</v>
      </c>
      <c r="AI13" s="654"/>
      <c r="AJ13" s="651"/>
      <c r="AK13" s="652"/>
      <c r="AL13" s="653"/>
      <c r="AM13" s="654"/>
      <c r="AN13" s="57"/>
      <c r="AO13" s="57"/>
      <c r="AP13" s="659"/>
      <c r="AQ13" s="760"/>
      <c r="AR13" s="660"/>
      <c r="AS13" s="662"/>
      <c r="AT13" s="650"/>
      <c r="AU13" s="652"/>
      <c r="AV13" s="731">
        <f t="shared" si="0"/>
        <v>3.0000000000000001E-3</v>
      </c>
      <c r="AW13" s="732">
        <f t="shared" si="1"/>
        <v>0</v>
      </c>
      <c r="AX13" s="766"/>
      <c r="AY13" s="661"/>
      <c r="AZ13" s="663">
        <f t="shared" si="2"/>
        <v>3.0000000000000001E-3</v>
      </c>
      <c r="BA13" s="664">
        <f t="shared" si="3"/>
        <v>0</v>
      </c>
    </row>
    <row r="14" spans="1:53" s="278" customFormat="1" ht="14.25" thickBot="1">
      <c r="A14" s="499" t="s">
        <v>12</v>
      </c>
      <c r="B14" s="292">
        <f t="shared" ref="B14:AG14" si="7">B12+B13</f>
        <v>1208</v>
      </c>
      <c r="C14" s="293">
        <f t="shared" si="7"/>
        <v>1343.44</v>
      </c>
      <c r="D14" s="292">
        <f t="shared" si="7"/>
        <v>7.83</v>
      </c>
      <c r="E14" s="293">
        <f t="shared" si="7"/>
        <v>5.18</v>
      </c>
      <c r="F14" s="290">
        <f t="shared" si="7"/>
        <v>32.75</v>
      </c>
      <c r="G14" s="291">
        <f t="shared" si="7"/>
        <v>46.66</v>
      </c>
      <c r="H14" s="292">
        <f t="shared" si="7"/>
        <v>1227</v>
      </c>
      <c r="I14" s="293">
        <f t="shared" si="7"/>
        <v>2106.6800000000003</v>
      </c>
      <c r="J14" s="726">
        <f t="shared" si="7"/>
        <v>49.29</v>
      </c>
      <c r="K14" s="746">
        <f t="shared" si="7"/>
        <v>74.22</v>
      </c>
      <c r="L14" s="292">
        <f t="shared" si="7"/>
        <v>466.6</v>
      </c>
      <c r="M14" s="293">
        <f t="shared" si="7"/>
        <v>694.37</v>
      </c>
      <c r="N14" s="290">
        <f t="shared" si="7"/>
        <v>36.036000000000001</v>
      </c>
      <c r="O14" s="665">
        <f t="shared" si="7"/>
        <v>70.47</v>
      </c>
      <c r="P14" s="292">
        <f>P12+P13</f>
        <v>7.27</v>
      </c>
      <c r="Q14" s="293">
        <f>Q12+Q13</f>
        <v>13.343</v>
      </c>
      <c r="R14" s="727">
        <f t="shared" si="7"/>
        <v>25.71</v>
      </c>
      <c r="S14" s="749">
        <f t="shared" si="7"/>
        <v>83.35</v>
      </c>
      <c r="T14" s="292">
        <f t="shared" si="7"/>
        <v>33.090000000000003</v>
      </c>
      <c r="U14" s="293">
        <f t="shared" si="7"/>
        <v>62.14</v>
      </c>
      <c r="V14" s="292">
        <f t="shared" si="7"/>
        <v>4330.3</v>
      </c>
      <c r="W14" s="293">
        <f t="shared" si="7"/>
        <v>5391.76</v>
      </c>
      <c r="X14" s="290">
        <f t="shared" si="7"/>
        <v>1905</v>
      </c>
      <c r="Y14" s="291">
        <f t="shared" si="7"/>
        <v>2738.95</v>
      </c>
      <c r="Z14" s="292">
        <f t="shared" si="7"/>
        <v>27.61</v>
      </c>
      <c r="AA14" s="293">
        <f t="shared" si="7"/>
        <v>55</v>
      </c>
      <c r="AB14" s="290">
        <f t="shared" si="7"/>
        <v>545.22</v>
      </c>
      <c r="AC14" s="665">
        <f t="shared" si="7"/>
        <v>570.73</v>
      </c>
      <c r="AD14" s="292">
        <f t="shared" si="7"/>
        <v>707.3</v>
      </c>
      <c r="AE14" s="293">
        <f t="shared" si="7"/>
        <v>1094.8499999999999</v>
      </c>
      <c r="AF14" s="290">
        <f t="shared" si="7"/>
        <v>157.58999999999997</v>
      </c>
      <c r="AG14" s="291">
        <f t="shared" si="7"/>
        <v>343.97</v>
      </c>
      <c r="AH14" s="292">
        <f t="shared" ref="AH14:AU14" si="8">AH12+AH13</f>
        <v>114.343</v>
      </c>
      <c r="AI14" s="293">
        <f t="shared" si="8"/>
        <v>233.79000000000002</v>
      </c>
      <c r="AJ14" s="290">
        <f t="shared" si="8"/>
        <v>14.549999999999999</v>
      </c>
      <c r="AK14" s="291">
        <f t="shared" si="8"/>
        <v>88.52000000000001</v>
      </c>
      <c r="AL14" s="292">
        <f t="shared" si="8"/>
        <v>0</v>
      </c>
      <c r="AM14" s="293">
        <f t="shared" si="8"/>
        <v>0</v>
      </c>
      <c r="AN14" s="290">
        <f t="shared" si="8"/>
        <v>4791.84</v>
      </c>
      <c r="AO14" s="290">
        <f t="shared" si="8"/>
        <v>3813.46</v>
      </c>
      <c r="AP14" s="290">
        <f t="shared" si="8"/>
        <v>44.05</v>
      </c>
      <c r="AQ14" s="291">
        <f t="shared" si="8"/>
        <v>138.36000000000001</v>
      </c>
      <c r="AR14" s="292">
        <f t="shared" si="8"/>
        <v>104.91279999999999</v>
      </c>
      <c r="AS14" s="293">
        <f t="shared" si="8"/>
        <v>338.46999999999997</v>
      </c>
      <c r="AT14" s="290">
        <f t="shared" si="8"/>
        <v>48.580000000000005</v>
      </c>
      <c r="AU14" s="665">
        <f t="shared" si="8"/>
        <v>88.58</v>
      </c>
      <c r="AV14" s="733">
        <f t="shared" si="0"/>
        <v>16506.341800000002</v>
      </c>
      <c r="AW14" s="734">
        <f t="shared" si="1"/>
        <v>20093.766000000003</v>
      </c>
      <c r="AX14" s="767">
        <f>AX12+AX13</f>
        <v>0</v>
      </c>
      <c r="AY14" s="769">
        <f>AY12+AY13</f>
        <v>0</v>
      </c>
      <c r="AZ14" s="292">
        <f t="shared" si="2"/>
        <v>16506.341800000002</v>
      </c>
      <c r="BA14" s="666">
        <f t="shared" si="3"/>
        <v>20093.766000000003</v>
      </c>
    </row>
    <row r="16" spans="1:53">
      <c r="V16" s="729"/>
    </row>
    <row r="17" spans="22:22">
      <c r="V17" s="729"/>
    </row>
    <row r="18" spans="22:22">
      <c r="V18" s="729"/>
    </row>
    <row r="19" spans="22:22">
      <c r="V19" s="729"/>
    </row>
    <row r="20" spans="22:22">
      <c r="V20" s="729"/>
    </row>
    <row r="21" spans="22:22">
      <c r="V21" s="729"/>
    </row>
  </sheetData>
  <mergeCells count="29">
    <mergeCell ref="AT3:AU3"/>
    <mergeCell ref="AV3:AW3"/>
    <mergeCell ref="AX3:AY3"/>
    <mergeCell ref="AJ3:AK3"/>
    <mergeCell ref="AL3:AM3"/>
    <mergeCell ref="AN3:AO3"/>
    <mergeCell ref="AP3:AQ3"/>
    <mergeCell ref="AR3:AS3"/>
    <mergeCell ref="P3:Q3"/>
    <mergeCell ref="AB3:AC3"/>
    <mergeCell ref="AD3:AE3"/>
    <mergeCell ref="AF3:AG3"/>
    <mergeCell ref="AH3:AI3"/>
    <mergeCell ref="AZ3:BA3"/>
    <mergeCell ref="A1:AZ1"/>
    <mergeCell ref="A2:AZ2"/>
    <mergeCell ref="A3:A4"/>
    <mergeCell ref="D3:E3"/>
    <mergeCell ref="B3:C3"/>
    <mergeCell ref="F3:G3"/>
    <mergeCell ref="H3:I3"/>
    <mergeCell ref="J3:K3"/>
    <mergeCell ref="L3:M3"/>
    <mergeCell ref="N3:O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14"/>
  <sheetViews>
    <sheetView workbookViewId="0">
      <pane xSplit="1" topLeftCell="B1" activePane="topRight" state="frozen"/>
      <selection pane="topRight" sqref="A1:XFD1048576"/>
    </sheetView>
  </sheetViews>
  <sheetFormatPr defaultRowHeight="14.25"/>
  <cols>
    <col min="1" max="1" width="23.7109375" style="7" bestFit="1" customWidth="1"/>
    <col min="2" max="15" width="12.85546875" style="7" bestFit="1" customWidth="1"/>
    <col min="16" max="17" width="12.85546875" style="24" bestFit="1" customWidth="1"/>
    <col min="18" max="25" width="12.85546875" style="7" bestFit="1" customWidth="1"/>
    <col min="26" max="27" width="12.85546875" style="24" bestFit="1" customWidth="1"/>
    <col min="28" max="53" width="12.85546875" style="7" bestFit="1" customWidth="1"/>
    <col min="54" max="16384" width="9.140625" style="7"/>
  </cols>
  <sheetData>
    <row r="1" spans="1:53">
      <c r="A1" s="1159" t="s">
        <v>13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1159"/>
      <c r="N1" s="1159"/>
      <c r="O1" s="1159"/>
      <c r="P1" s="1159"/>
      <c r="Q1" s="1159"/>
      <c r="R1" s="1159"/>
      <c r="S1" s="1159"/>
      <c r="T1" s="1159"/>
      <c r="U1" s="1159"/>
      <c r="V1" s="1159"/>
      <c r="W1" s="1159"/>
      <c r="X1" s="1159"/>
      <c r="Y1" s="1159"/>
      <c r="Z1" s="1159"/>
      <c r="AA1" s="1159"/>
      <c r="AB1" s="1159"/>
      <c r="AC1" s="1159"/>
      <c r="AD1" s="1159"/>
      <c r="AE1" s="1159"/>
      <c r="AF1" s="1159"/>
      <c r="AG1" s="1159"/>
      <c r="AH1" s="1159"/>
      <c r="AI1" s="1159"/>
      <c r="AJ1" s="1159"/>
      <c r="AK1" s="1159"/>
      <c r="AL1" s="1159"/>
      <c r="AM1" s="1159"/>
      <c r="AN1" s="1159"/>
      <c r="AO1" s="1159"/>
      <c r="AP1" s="1159"/>
      <c r="AQ1" s="1159"/>
      <c r="AR1" s="1159"/>
      <c r="AS1" s="1159"/>
      <c r="AT1" s="1159"/>
      <c r="AU1" s="1159"/>
      <c r="AV1" s="1159"/>
      <c r="AW1" s="1159"/>
      <c r="AX1" s="1159"/>
      <c r="AY1" s="1159"/>
      <c r="AZ1" s="1159"/>
    </row>
    <row r="2" spans="1:53" ht="15" thickBot="1">
      <c r="A2" s="1137"/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  <c r="AL2" s="1137"/>
      <c r="AM2" s="1137"/>
      <c r="AN2" s="1137"/>
      <c r="AO2" s="1137"/>
      <c r="AP2" s="1137"/>
      <c r="AQ2" s="1137"/>
      <c r="AR2" s="1137"/>
      <c r="AS2" s="1137"/>
      <c r="AT2" s="1137"/>
      <c r="AU2" s="1137"/>
      <c r="AV2" s="1137"/>
      <c r="AW2" s="1137"/>
      <c r="AX2" s="1137"/>
      <c r="AY2" s="1137"/>
      <c r="AZ2" s="1137"/>
    </row>
    <row r="3" spans="1:53" ht="39" customHeight="1" thickBot="1">
      <c r="A3" s="1160" t="s">
        <v>0</v>
      </c>
      <c r="B3" s="1168" t="s">
        <v>150</v>
      </c>
      <c r="C3" s="1169"/>
      <c r="D3" s="1168" t="s">
        <v>151</v>
      </c>
      <c r="E3" s="1169"/>
      <c r="F3" s="1170" t="s">
        <v>152</v>
      </c>
      <c r="G3" s="1169"/>
      <c r="H3" s="1168" t="s">
        <v>153</v>
      </c>
      <c r="I3" s="1169"/>
      <c r="J3" s="1170" t="s">
        <v>154</v>
      </c>
      <c r="K3" s="1169"/>
      <c r="L3" s="1168" t="s">
        <v>155</v>
      </c>
      <c r="M3" s="1169"/>
      <c r="N3" s="1168" t="s">
        <v>255</v>
      </c>
      <c r="O3" s="1169"/>
      <c r="P3" s="1068" t="s">
        <v>156</v>
      </c>
      <c r="Q3" s="1068"/>
      <c r="R3" s="1168" t="s">
        <v>157</v>
      </c>
      <c r="S3" s="1169"/>
      <c r="T3" s="1170" t="s">
        <v>158</v>
      </c>
      <c r="U3" s="1170"/>
      <c r="V3" s="1168" t="s">
        <v>159</v>
      </c>
      <c r="W3" s="1169"/>
      <c r="X3" s="1168" t="s">
        <v>160</v>
      </c>
      <c r="Y3" s="1169"/>
      <c r="Z3" s="1068" t="s">
        <v>365</v>
      </c>
      <c r="AA3" s="1068"/>
      <c r="AB3" s="1168" t="s">
        <v>161</v>
      </c>
      <c r="AC3" s="1169"/>
      <c r="AD3" s="1171" t="s">
        <v>162</v>
      </c>
      <c r="AE3" s="1172"/>
      <c r="AF3" s="1168" t="s">
        <v>163</v>
      </c>
      <c r="AG3" s="1170"/>
      <c r="AH3" s="1168" t="s">
        <v>164</v>
      </c>
      <c r="AI3" s="1169"/>
      <c r="AJ3" s="1168" t="s">
        <v>165</v>
      </c>
      <c r="AK3" s="1169"/>
      <c r="AL3" s="1171" t="s">
        <v>166</v>
      </c>
      <c r="AM3" s="1172"/>
      <c r="AN3" s="1170" t="s">
        <v>167</v>
      </c>
      <c r="AO3" s="1170"/>
      <c r="AP3" s="1168" t="s">
        <v>168</v>
      </c>
      <c r="AQ3" s="1169"/>
      <c r="AR3" s="1170" t="s">
        <v>169</v>
      </c>
      <c r="AS3" s="1170"/>
      <c r="AT3" s="1168" t="s">
        <v>170</v>
      </c>
      <c r="AU3" s="1169"/>
      <c r="AV3" s="1170" t="s">
        <v>1</v>
      </c>
      <c r="AW3" s="1170"/>
      <c r="AX3" s="1171" t="s">
        <v>171</v>
      </c>
      <c r="AY3" s="1172"/>
      <c r="AZ3" s="1171" t="s">
        <v>2</v>
      </c>
      <c r="BA3" s="1172"/>
    </row>
    <row r="4" spans="1:53" s="269" customFormat="1" ht="15" thickBot="1">
      <c r="A4" s="1161"/>
      <c r="B4" s="345" t="s">
        <v>254</v>
      </c>
      <c r="C4" s="345" t="s">
        <v>358</v>
      </c>
      <c r="D4" s="345" t="s">
        <v>254</v>
      </c>
      <c r="E4" s="345" t="s">
        <v>358</v>
      </c>
      <c r="F4" s="345" t="s">
        <v>254</v>
      </c>
      <c r="G4" s="345" t="s">
        <v>358</v>
      </c>
      <c r="H4" s="345" t="s">
        <v>254</v>
      </c>
      <c r="I4" s="345" t="s">
        <v>358</v>
      </c>
      <c r="J4" s="345" t="s">
        <v>254</v>
      </c>
      <c r="K4" s="345" t="s">
        <v>358</v>
      </c>
      <c r="L4" s="345" t="s">
        <v>254</v>
      </c>
      <c r="M4" s="345" t="s">
        <v>358</v>
      </c>
      <c r="N4" s="345" t="s">
        <v>254</v>
      </c>
      <c r="O4" s="345" t="s">
        <v>358</v>
      </c>
      <c r="P4" s="345" t="s">
        <v>254</v>
      </c>
      <c r="Q4" s="345" t="s">
        <v>358</v>
      </c>
      <c r="R4" s="345" t="s">
        <v>254</v>
      </c>
      <c r="S4" s="345" t="s">
        <v>358</v>
      </c>
      <c r="T4" s="345" t="s">
        <v>254</v>
      </c>
      <c r="U4" s="345" t="s">
        <v>358</v>
      </c>
      <c r="V4" s="345" t="s">
        <v>254</v>
      </c>
      <c r="W4" s="345" t="s">
        <v>358</v>
      </c>
      <c r="X4" s="345" t="s">
        <v>254</v>
      </c>
      <c r="Y4" s="345" t="s">
        <v>358</v>
      </c>
      <c r="Z4" s="345" t="s">
        <v>254</v>
      </c>
      <c r="AA4" s="345" t="s">
        <v>358</v>
      </c>
      <c r="AB4" s="345" t="s">
        <v>254</v>
      </c>
      <c r="AC4" s="345" t="s">
        <v>358</v>
      </c>
      <c r="AD4" s="345" t="s">
        <v>254</v>
      </c>
      <c r="AE4" s="345" t="s">
        <v>358</v>
      </c>
      <c r="AF4" s="345" t="s">
        <v>254</v>
      </c>
      <c r="AG4" s="345" t="s">
        <v>358</v>
      </c>
      <c r="AH4" s="345" t="s">
        <v>254</v>
      </c>
      <c r="AI4" s="345" t="s">
        <v>358</v>
      </c>
      <c r="AJ4" s="345" t="s">
        <v>254</v>
      </c>
      <c r="AK4" s="345" t="s">
        <v>358</v>
      </c>
      <c r="AL4" s="345" t="s">
        <v>254</v>
      </c>
      <c r="AM4" s="345" t="s">
        <v>358</v>
      </c>
      <c r="AN4" s="345" t="s">
        <v>254</v>
      </c>
      <c r="AO4" s="345" t="s">
        <v>358</v>
      </c>
      <c r="AP4" s="345" t="s">
        <v>254</v>
      </c>
      <c r="AQ4" s="345" t="s">
        <v>358</v>
      </c>
      <c r="AR4" s="345" t="s">
        <v>254</v>
      </c>
      <c r="AS4" s="345" t="s">
        <v>358</v>
      </c>
      <c r="AT4" s="345" t="s">
        <v>254</v>
      </c>
      <c r="AU4" s="345" t="s">
        <v>358</v>
      </c>
      <c r="AV4" s="345" t="s">
        <v>254</v>
      </c>
      <c r="AW4" s="345" t="s">
        <v>358</v>
      </c>
      <c r="AX4" s="345" t="s">
        <v>254</v>
      </c>
      <c r="AY4" s="345" t="s">
        <v>358</v>
      </c>
      <c r="AZ4" s="345" t="s">
        <v>254</v>
      </c>
      <c r="BA4" s="345" t="s">
        <v>358</v>
      </c>
    </row>
    <row r="5" spans="1:53" s="492" customFormat="1" ht="13.5">
      <c r="A5" s="240" t="s">
        <v>3</v>
      </c>
      <c r="B5" s="342">
        <v>7910</v>
      </c>
      <c r="C5" s="340">
        <v>5166</v>
      </c>
      <c r="D5" s="342"/>
      <c r="E5" s="340"/>
      <c r="F5" s="338">
        <v>152</v>
      </c>
      <c r="G5" s="340">
        <v>1146</v>
      </c>
      <c r="H5" s="342">
        <v>1220</v>
      </c>
      <c r="I5" s="340">
        <v>3060</v>
      </c>
      <c r="J5" s="338"/>
      <c r="K5" s="340"/>
      <c r="L5" s="342"/>
      <c r="M5" s="340"/>
      <c r="N5" s="342">
        <v>91</v>
      </c>
      <c r="O5" s="340"/>
      <c r="P5" s="338">
        <v>1369</v>
      </c>
      <c r="Q5" s="496">
        <v>38</v>
      </c>
      <c r="R5" s="342"/>
      <c r="S5" s="340"/>
      <c r="T5" s="338">
        <v>372</v>
      </c>
      <c r="U5" s="496">
        <v>288</v>
      </c>
      <c r="V5" s="787">
        <v>755</v>
      </c>
      <c r="W5" s="788">
        <v>458</v>
      </c>
      <c r="X5" s="338">
        <v>32304</v>
      </c>
      <c r="Y5" s="340">
        <v>33974</v>
      </c>
      <c r="Z5" s="338"/>
      <c r="AA5" s="496"/>
      <c r="AB5" s="235"/>
      <c r="AC5" s="162"/>
      <c r="AD5" s="342">
        <v>38</v>
      </c>
      <c r="AE5" s="340">
        <v>914</v>
      </c>
      <c r="AF5" s="339">
        <v>9003</v>
      </c>
      <c r="AG5" s="496">
        <v>90</v>
      </c>
      <c r="AH5" s="342">
        <v>113</v>
      </c>
      <c r="AI5" s="340">
        <v>425</v>
      </c>
      <c r="AJ5" s="342"/>
      <c r="AK5" s="340"/>
      <c r="AL5" s="342"/>
      <c r="AM5" s="340"/>
      <c r="AN5" s="497">
        <v>147571</v>
      </c>
      <c r="AO5" s="772">
        <v>10796</v>
      </c>
      <c r="AP5" s="342"/>
      <c r="AQ5" s="340"/>
      <c r="AR5" s="338">
        <v>37</v>
      </c>
      <c r="AS5" s="496"/>
      <c r="AT5" s="342">
        <v>6490</v>
      </c>
      <c r="AU5" s="340">
        <v>5358</v>
      </c>
      <c r="AV5" s="338">
        <f t="shared" ref="AV5:AV14" si="0">SUM(B5+D5+F5+H5+J5+L5+N5+P5+R5+T5+V5+X5+Z5+P5+AD5+AF5+AH5+AJ5+AL5+AN5+AP5+AR5+AT5)</f>
        <v>208794</v>
      </c>
      <c r="AW5" s="695">
        <f t="shared" ref="AW5:AW14" si="1">SUM(C5+E5+G5+I5+K5+M5+O5+Q5+S5+U5+W5+Y5+AA5+Q5+AE5+AG5+AI5+AK5+AM5+AO5+AQ5+AS5+AU5)</f>
        <v>61751</v>
      </c>
      <c r="AX5" s="342"/>
      <c r="AY5" s="340"/>
      <c r="AZ5" s="342">
        <f t="shared" ref="AZ5:AZ14" si="2">AV5+AX5</f>
        <v>208794</v>
      </c>
      <c r="BA5" s="498">
        <f t="shared" ref="BA5:BA14" si="3">AW5+AY5</f>
        <v>61751</v>
      </c>
    </row>
    <row r="6" spans="1:53" s="492" customFormat="1" ht="13.5">
      <c r="A6" s="240" t="s">
        <v>4</v>
      </c>
      <c r="B6" s="8">
        <v>3419</v>
      </c>
      <c r="C6" s="340">
        <v>4415</v>
      </c>
      <c r="D6" s="20"/>
      <c r="E6" s="23"/>
      <c r="F6" s="22">
        <v>4742</v>
      </c>
      <c r="G6" s="340">
        <v>2843</v>
      </c>
      <c r="H6" s="20">
        <v>1880594</v>
      </c>
      <c r="I6" s="340">
        <v>4477234</v>
      </c>
      <c r="J6" s="22">
        <v>24606</v>
      </c>
      <c r="K6" s="23">
        <v>30030</v>
      </c>
      <c r="L6" s="20">
        <v>3986615</v>
      </c>
      <c r="M6" s="23">
        <v>3493841</v>
      </c>
      <c r="N6" s="20">
        <v>23</v>
      </c>
      <c r="O6" s="23">
        <v>1</v>
      </c>
      <c r="P6" s="22">
        <v>56353</v>
      </c>
      <c r="Q6" s="496">
        <v>113712</v>
      </c>
      <c r="R6" s="20">
        <v>162</v>
      </c>
      <c r="S6" s="340">
        <v>187</v>
      </c>
      <c r="T6" s="22">
        <v>5905</v>
      </c>
      <c r="U6" s="496">
        <v>4049</v>
      </c>
      <c r="V6" s="775">
        <v>4521209</v>
      </c>
      <c r="W6" s="789">
        <v>9052920</v>
      </c>
      <c r="X6" s="22">
        <v>310361</v>
      </c>
      <c r="Y6" s="340">
        <v>669303</v>
      </c>
      <c r="Z6" s="493">
        <v>4548</v>
      </c>
      <c r="AA6" s="496">
        <v>8167</v>
      </c>
      <c r="AB6" s="20">
        <v>61357</v>
      </c>
      <c r="AC6" s="23">
        <v>159580</v>
      </c>
      <c r="AD6" s="20">
        <v>1157616</v>
      </c>
      <c r="AE6" s="340">
        <v>1573667</v>
      </c>
      <c r="AF6" s="19">
        <v>675419</v>
      </c>
      <c r="AG6" s="496">
        <v>1106042</v>
      </c>
      <c r="AH6" s="20">
        <v>220441</v>
      </c>
      <c r="AI6" s="340">
        <v>114620</v>
      </c>
      <c r="AJ6" s="20"/>
      <c r="AK6" s="340"/>
      <c r="AL6" s="20"/>
      <c r="AM6" s="23"/>
      <c r="AN6" s="491">
        <v>547304</v>
      </c>
      <c r="AO6" s="772">
        <v>322269</v>
      </c>
      <c r="AP6" s="775"/>
      <c r="AQ6" s="494"/>
      <c r="AR6" s="18">
        <v>1921643</v>
      </c>
      <c r="AS6" s="496">
        <v>1587420</v>
      </c>
      <c r="AT6" s="20">
        <v>135</v>
      </c>
      <c r="AU6" s="340">
        <v>2296</v>
      </c>
      <c r="AV6" s="9">
        <f t="shared" si="0"/>
        <v>15377448</v>
      </c>
      <c r="AW6" s="778">
        <f t="shared" si="1"/>
        <v>22676728</v>
      </c>
      <c r="AX6" s="782"/>
      <c r="AY6" s="340"/>
      <c r="AZ6" s="8">
        <f t="shared" si="2"/>
        <v>15377448</v>
      </c>
      <c r="BA6" s="226">
        <f t="shared" si="3"/>
        <v>22676728</v>
      </c>
    </row>
    <row r="7" spans="1:53" s="492" customFormat="1" ht="13.5">
      <c r="A7" s="240" t="s">
        <v>5</v>
      </c>
      <c r="B7" s="8">
        <v>172538</v>
      </c>
      <c r="C7" s="340">
        <v>364466</v>
      </c>
      <c r="D7" s="20">
        <v>13860</v>
      </c>
      <c r="E7" s="23">
        <v>1505</v>
      </c>
      <c r="F7" s="22"/>
      <c r="G7" s="340"/>
      <c r="H7" s="20">
        <v>56800</v>
      </c>
      <c r="I7" s="340">
        <v>48397</v>
      </c>
      <c r="J7" s="22">
        <v>19</v>
      </c>
      <c r="K7" s="23">
        <v>324</v>
      </c>
      <c r="L7" s="20">
        <v>2879</v>
      </c>
      <c r="M7" s="23">
        <v>6172</v>
      </c>
      <c r="N7" s="20">
        <v>686471</v>
      </c>
      <c r="O7" s="23">
        <v>14304</v>
      </c>
      <c r="P7" s="22"/>
      <c r="Q7" s="496"/>
      <c r="R7" s="20"/>
      <c r="S7" s="340"/>
      <c r="T7" s="22">
        <v>-36</v>
      </c>
      <c r="U7" s="496">
        <v>32</v>
      </c>
      <c r="V7" s="775">
        <v>728408</v>
      </c>
      <c r="W7" s="789">
        <v>1698935</v>
      </c>
      <c r="X7" s="22">
        <v>323162</v>
      </c>
      <c r="Y7" s="340">
        <v>729228</v>
      </c>
      <c r="Z7" s="493"/>
      <c r="AA7" s="496"/>
      <c r="AB7" s="20"/>
      <c r="AC7" s="23"/>
      <c r="AD7" s="20">
        <v>567769</v>
      </c>
      <c r="AE7" s="340">
        <v>1070526</v>
      </c>
      <c r="AF7" s="19">
        <v>5382</v>
      </c>
      <c r="AG7" s="496">
        <v>6340</v>
      </c>
      <c r="AH7" s="20">
        <v>2480</v>
      </c>
      <c r="AI7" s="340">
        <v>7809</v>
      </c>
      <c r="AJ7" s="20"/>
      <c r="AK7" s="340"/>
      <c r="AL7" s="20"/>
      <c r="AM7" s="23"/>
      <c r="AN7" s="491">
        <v>4807</v>
      </c>
      <c r="AO7" s="772">
        <v>3362</v>
      </c>
      <c r="AP7" s="775">
        <v>423197</v>
      </c>
      <c r="AQ7" s="494">
        <v>222982</v>
      </c>
      <c r="AR7" s="18"/>
      <c r="AS7" s="496"/>
      <c r="AT7" s="20"/>
      <c r="AU7" s="340"/>
      <c r="AV7" s="9">
        <f t="shared" si="0"/>
        <v>2987736</v>
      </c>
      <c r="AW7" s="778">
        <f t="shared" si="1"/>
        <v>4174382</v>
      </c>
      <c r="AX7" s="782"/>
      <c r="AY7" s="340"/>
      <c r="AZ7" s="8">
        <f t="shared" si="2"/>
        <v>2987736</v>
      </c>
      <c r="BA7" s="226">
        <f t="shared" si="3"/>
        <v>4174382</v>
      </c>
    </row>
    <row r="8" spans="1:53" s="492" customFormat="1" ht="13.5">
      <c r="A8" s="240" t="s">
        <v>6</v>
      </c>
      <c r="B8" s="8">
        <v>259599</v>
      </c>
      <c r="C8" s="340">
        <v>311941</v>
      </c>
      <c r="D8" s="20">
        <v>39969</v>
      </c>
      <c r="E8" s="23">
        <v>31547</v>
      </c>
      <c r="F8" s="22">
        <v>256301</v>
      </c>
      <c r="G8" s="340">
        <v>114381</v>
      </c>
      <c r="H8" s="20">
        <v>229737</v>
      </c>
      <c r="I8" s="340">
        <v>122056</v>
      </c>
      <c r="J8" s="22"/>
      <c r="K8" s="23">
        <v>606</v>
      </c>
      <c r="L8" s="20">
        <v>169593</v>
      </c>
      <c r="M8" s="23">
        <v>93380</v>
      </c>
      <c r="N8" s="20">
        <v>202379</v>
      </c>
      <c r="O8" s="23">
        <v>45476</v>
      </c>
      <c r="P8" s="22">
        <v>16412</v>
      </c>
      <c r="Q8" s="496">
        <v>7536</v>
      </c>
      <c r="R8" s="20">
        <v>231443</v>
      </c>
      <c r="S8" s="340">
        <v>585565</v>
      </c>
      <c r="T8" s="22">
        <v>28175</v>
      </c>
      <c r="U8" s="496">
        <v>6393</v>
      </c>
      <c r="V8" s="775">
        <v>425648</v>
      </c>
      <c r="W8" s="789">
        <v>1543199</v>
      </c>
      <c r="X8" s="22">
        <v>466880</v>
      </c>
      <c r="Y8" s="340">
        <v>958957</v>
      </c>
      <c r="Z8" s="493"/>
      <c r="AA8" s="496"/>
      <c r="AB8" s="20">
        <v>234670</v>
      </c>
      <c r="AC8" s="23">
        <v>539514</v>
      </c>
      <c r="AD8" s="20">
        <v>128955</v>
      </c>
      <c r="AE8" s="340">
        <v>319642</v>
      </c>
      <c r="AF8" s="19">
        <v>175021</v>
      </c>
      <c r="AG8" s="496">
        <v>41558</v>
      </c>
      <c r="AH8" s="20">
        <v>288808</v>
      </c>
      <c r="AI8" s="340">
        <v>565463</v>
      </c>
      <c r="AJ8" s="20">
        <v>1157</v>
      </c>
      <c r="AK8" s="340">
        <v>1308</v>
      </c>
      <c r="AL8" s="20"/>
      <c r="AM8" s="23"/>
      <c r="AN8" s="491">
        <v>202122</v>
      </c>
      <c r="AO8" s="772">
        <v>335157</v>
      </c>
      <c r="AP8" s="775">
        <v>2899</v>
      </c>
      <c r="AQ8" s="494">
        <v>131466</v>
      </c>
      <c r="AR8" s="18">
        <v>19124</v>
      </c>
      <c r="AS8" s="496">
        <v>25075</v>
      </c>
      <c r="AT8" s="20">
        <v>61253</v>
      </c>
      <c r="AU8" s="340">
        <v>88412</v>
      </c>
      <c r="AV8" s="9">
        <f t="shared" si="0"/>
        <v>3221887</v>
      </c>
      <c r="AW8" s="778">
        <f t="shared" si="1"/>
        <v>5336654</v>
      </c>
      <c r="AX8" s="782"/>
      <c r="AY8" s="340"/>
      <c r="AZ8" s="8">
        <f t="shared" si="2"/>
        <v>3221887</v>
      </c>
      <c r="BA8" s="226">
        <f t="shared" si="3"/>
        <v>5336654</v>
      </c>
    </row>
    <row r="9" spans="1:53" s="492" customFormat="1" ht="13.5">
      <c r="A9" s="240" t="s">
        <v>7</v>
      </c>
      <c r="B9" s="8"/>
      <c r="C9" s="340"/>
      <c r="D9" s="20"/>
      <c r="E9" s="23"/>
      <c r="F9" s="22"/>
      <c r="G9" s="340"/>
      <c r="H9" s="20">
        <v>407349</v>
      </c>
      <c r="I9" s="340">
        <v>675089</v>
      </c>
      <c r="J9" s="22"/>
      <c r="K9" s="23"/>
      <c r="L9" s="20"/>
      <c r="M9" s="23"/>
      <c r="N9" s="20">
        <v>48636</v>
      </c>
      <c r="O9" s="23">
        <v>33656</v>
      </c>
      <c r="P9" s="22"/>
      <c r="Q9" s="496"/>
      <c r="R9" s="20"/>
      <c r="S9" s="340"/>
      <c r="T9" s="22"/>
      <c r="U9" s="496"/>
      <c r="V9" s="775">
        <v>50408</v>
      </c>
      <c r="W9" s="789">
        <v>196599</v>
      </c>
      <c r="X9" s="22"/>
      <c r="Y9" s="340"/>
      <c r="Z9" s="493"/>
      <c r="AA9" s="496"/>
      <c r="AB9" s="20"/>
      <c r="AC9" s="23"/>
      <c r="AD9" s="20">
        <v>569106</v>
      </c>
      <c r="AE9" s="340">
        <v>1422458</v>
      </c>
      <c r="AF9" s="19"/>
      <c r="AG9" s="496"/>
      <c r="AH9" s="20"/>
      <c r="AI9" s="340"/>
      <c r="AJ9" s="20"/>
      <c r="AK9" s="340"/>
      <c r="AL9" s="20"/>
      <c r="AM9" s="23"/>
      <c r="AN9" s="491"/>
      <c r="AO9" s="772"/>
      <c r="AP9" s="775"/>
      <c r="AQ9" s="494"/>
      <c r="AR9" s="18"/>
      <c r="AS9" s="496"/>
      <c r="AT9" s="20"/>
      <c r="AU9" s="340"/>
      <c r="AV9" s="9">
        <f t="shared" si="0"/>
        <v>1075499</v>
      </c>
      <c r="AW9" s="778">
        <f t="shared" si="1"/>
        <v>2327802</v>
      </c>
      <c r="AX9" s="782"/>
      <c r="AY9" s="340"/>
      <c r="AZ9" s="8">
        <f t="shared" si="2"/>
        <v>1075499</v>
      </c>
      <c r="BA9" s="226">
        <f t="shared" si="3"/>
        <v>2327802</v>
      </c>
    </row>
    <row r="10" spans="1:53" s="492" customFormat="1" ht="13.5">
      <c r="A10" s="240" t="s">
        <v>8</v>
      </c>
      <c r="B10" s="8">
        <v>195699</v>
      </c>
      <c r="C10" s="340">
        <v>195126</v>
      </c>
      <c r="D10" s="20">
        <v>6750</v>
      </c>
      <c r="E10" s="23">
        <v>8619</v>
      </c>
      <c r="F10" s="22">
        <v>39266</v>
      </c>
      <c r="G10" s="340">
        <v>38349</v>
      </c>
      <c r="H10" s="20">
        <v>3140027</v>
      </c>
      <c r="I10" s="340">
        <v>6342903</v>
      </c>
      <c r="J10" s="22">
        <v>1026202</v>
      </c>
      <c r="K10" s="23">
        <v>210509</v>
      </c>
      <c r="L10" s="20">
        <v>29913</v>
      </c>
      <c r="M10" s="23">
        <v>39305</v>
      </c>
      <c r="N10" s="20">
        <v>794847</v>
      </c>
      <c r="O10" s="23">
        <v>353706</v>
      </c>
      <c r="P10" s="22">
        <v>5626</v>
      </c>
      <c r="Q10" s="496">
        <v>6717</v>
      </c>
      <c r="R10" s="20">
        <v>10280</v>
      </c>
      <c r="S10" s="340">
        <v>-151843</v>
      </c>
      <c r="T10" s="22">
        <v>5564</v>
      </c>
      <c r="U10" s="496">
        <v>20872</v>
      </c>
      <c r="V10" s="775">
        <v>4037214</v>
      </c>
      <c r="W10" s="789">
        <v>7113547</v>
      </c>
      <c r="X10" s="22">
        <v>5233110</v>
      </c>
      <c r="Y10" s="340">
        <v>7914003</v>
      </c>
      <c r="Z10" s="493">
        <v>948</v>
      </c>
      <c r="AA10" s="496">
        <v>1187</v>
      </c>
      <c r="AB10" s="20">
        <v>939818</v>
      </c>
      <c r="AC10" s="23">
        <v>1822607</v>
      </c>
      <c r="AD10" s="691">
        <v>1955346</v>
      </c>
      <c r="AE10" s="340">
        <v>3451892</v>
      </c>
      <c r="AF10" s="19">
        <v>616869</v>
      </c>
      <c r="AG10" s="496">
        <v>595280</v>
      </c>
      <c r="AH10" s="20">
        <v>113568</v>
      </c>
      <c r="AI10" s="340">
        <v>554258</v>
      </c>
      <c r="AJ10" s="20">
        <v>-57100</v>
      </c>
      <c r="AK10" s="340">
        <v>22275</v>
      </c>
      <c r="AL10" s="20"/>
      <c r="AM10" s="23"/>
      <c r="AN10" s="491">
        <v>3061858</v>
      </c>
      <c r="AO10" s="772">
        <v>3201991</v>
      </c>
      <c r="AP10" s="775">
        <v>575503</v>
      </c>
      <c r="AQ10" s="494">
        <v>1252324</v>
      </c>
      <c r="AR10" s="18">
        <v>1915</v>
      </c>
      <c r="AS10" s="496">
        <v>75342</v>
      </c>
      <c r="AT10" s="20">
        <v>200663</v>
      </c>
      <c r="AU10" s="340">
        <v>155879</v>
      </c>
      <c r="AV10" s="9">
        <f t="shared" si="0"/>
        <v>20999694</v>
      </c>
      <c r="AW10" s="778">
        <f t="shared" si="1"/>
        <v>31408958</v>
      </c>
      <c r="AX10" s="20"/>
      <c r="AY10" s="340"/>
      <c r="AZ10" s="8">
        <f t="shared" si="2"/>
        <v>20999694</v>
      </c>
      <c r="BA10" s="226">
        <f t="shared" si="3"/>
        <v>31408958</v>
      </c>
    </row>
    <row r="11" spans="1:53" s="492" customFormat="1" thickBot="1">
      <c r="A11" s="240" t="s">
        <v>9</v>
      </c>
      <c r="B11" s="463"/>
      <c r="C11" s="518"/>
      <c r="D11" s="469"/>
      <c r="E11" s="522"/>
      <c r="F11" s="465"/>
      <c r="G11" s="522"/>
      <c r="H11" s="469"/>
      <c r="I11" s="522"/>
      <c r="J11" s="465"/>
      <c r="K11" s="522"/>
      <c r="L11" s="469"/>
      <c r="M11" s="23"/>
      <c r="N11" s="469"/>
      <c r="O11" s="23"/>
      <c r="P11" s="465"/>
      <c r="Q11" s="496"/>
      <c r="R11" s="469"/>
      <c r="S11" s="340"/>
      <c r="T11" s="465"/>
      <c r="U11" s="496"/>
      <c r="V11" s="41"/>
      <c r="W11" s="790"/>
      <c r="X11" s="465">
        <f>24+27555</f>
        <v>27579</v>
      </c>
      <c r="Y11" s="340">
        <f>4960+38+138644</f>
        <v>143642</v>
      </c>
      <c r="Z11" s="523"/>
      <c r="AA11" s="496"/>
      <c r="AB11" s="469"/>
      <c r="AC11" s="522"/>
      <c r="AD11" s="692"/>
      <c r="AE11" s="466"/>
      <c r="AF11" s="521"/>
      <c r="AG11" s="496"/>
      <c r="AH11" s="469"/>
      <c r="AI11" s="340"/>
      <c r="AJ11" s="469"/>
      <c r="AK11" s="522"/>
      <c r="AL11" s="469"/>
      <c r="AM11" s="522"/>
      <c r="AN11" s="524"/>
      <c r="AO11" s="773"/>
      <c r="AP11" s="776"/>
      <c r="AQ11" s="525"/>
      <c r="AR11" s="526"/>
      <c r="AS11" s="771"/>
      <c r="AT11" s="469"/>
      <c r="AU11" s="522"/>
      <c r="AV11" s="468">
        <f t="shared" si="0"/>
        <v>27579</v>
      </c>
      <c r="AW11" s="779">
        <f t="shared" si="1"/>
        <v>143642</v>
      </c>
      <c r="AX11" s="469"/>
      <c r="AY11" s="340"/>
      <c r="AZ11" s="463">
        <f t="shared" si="2"/>
        <v>27579</v>
      </c>
      <c r="BA11" s="464">
        <f t="shared" si="3"/>
        <v>143642</v>
      </c>
    </row>
    <row r="12" spans="1:53" s="269" customFormat="1" ht="15" thickBot="1">
      <c r="A12" s="499" t="s">
        <v>10</v>
      </c>
      <c r="B12" s="452">
        <f t="shared" ref="B12:AG12" si="4">SUM(B5:B11)</f>
        <v>639165</v>
      </c>
      <c r="C12" s="455">
        <f t="shared" si="4"/>
        <v>881114</v>
      </c>
      <c r="D12" s="452">
        <f t="shared" si="4"/>
        <v>60579</v>
      </c>
      <c r="E12" s="455">
        <f t="shared" si="4"/>
        <v>41671</v>
      </c>
      <c r="F12" s="456">
        <f t="shared" si="4"/>
        <v>300461</v>
      </c>
      <c r="G12" s="455">
        <f t="shared" si="4"/>
        <v>156719</v>
      </c>
      <c r="H12" s="452">
        <f t="shared" si="4"/>
        <v>5715727</v>
      </c>
      <c r="I12" s="455">
        <f t="shared" si="4"/>
        <v>11668739</v>
      </c>
      <c r="J12" s="456">
        <f t="shared" si="4"/>
        <v>1050827</v>
      </c>
      <c r="K12" s="455">
        <f t="shared" si="4"/>
        <v>241469</v>
      </c>
      <c r="L12" s="452">
        <f t="shared" si="4"/>
        <v>4189000</v>
      </c>
      <c r="M12" s="455">
        <f t="shared" si="4"/>
        <v>3632698</v>
      </c>
      <c r="N12" s="452">
        <f t="shared" si="4"/>
        <v>1732447</v>
      </c>
      <c r="O12" s="455">
        <f t="shared" si="4"/>
        <v>447143</v>
      </c>
      <c r="P12" s="456">
        <f>SUM(P5:P11)</f>
        <v>79760</v>
      </c>
      <c r="Q12" s="519">
        <f>SUM(Q5:Q11)</f>
        <v>128003</v>
      </c>
      <c r="R12" s="452">
        <f t="shared" si="4"/>
        <v>241885</v>
      </c>
      <c r="S12" s="455">
        <f t="shared" si="4"/>
        <v>433909</v>
      </c>
      <c r="T12" s="456">
        <f t="shared" si="4"/>
        <v>39980</v>
      </c>
      <c r="U12" s="519">
        <f t="shared" si="4"/>
        <v>31634</v>
      </c>
      <c r="V12" s="785">
        <f t="shared" si="4"/>
        <v>9763642</v>
      </c>
      <c r="W12" s="786">
        <f t="shared" si="4"/>
        <v>19605658</v>
      </c>
      <c r="X12" s="452">
        <f>SUM(X5:X11)</f>
        <v>6393396</v>
      </c>
      <c r="Y12" s="455">
        <f t="shared" si="4"/>
        <v>10449107</v>
      </c>
      <c r="Z12" s="456">
        <f t="shared" si="4"/>
        <v>5496</v>
      </c>
      <c r="AA12" s="519">
        <f t="shared" si="4"/>
        <v>9354</v>
      </c>
      <c r="AB12" s="452">
        <f t="shared" si="4"/>
        <v>1235845</v>
      </c>
      <c r="AC12" s="455">
        <f t="shared" si="4"/>
        <v>2521701</v>
      </c>
      <c r="AD12" s="452">
        <f t="shared" si="4"/>
        <v>4378830</v>
      </c>
      <c r="AE12" s="455">
        <f t="shared" si="4"/>
        <v>7839099</v>
      </c>
      <c r="AF12" s="454">
        <f t="shared" si="4"/>
        <v>1481694</v>
      </c>
      <c r="AG12" s="519">
        <f t="shared" si="4"/>
        <v>1749310</v>
      </c>
      <c r="AH12" s="452">
        <f t="shared" ref="AH12:AU12" si="5">SUM(AH5:AH11)</f>
        <v>625410</v>
      </c>
      <c r="AI12" s="455">
        <f t="shared" si="5"/>
        <v>1242575</v>
      </c>
      <c r="AJ12" s="452">
        <f t="shared" si="5"/>
        <v>-55943</v>
      </c>
      <c r="AK12" s="455">
        <f t="shared" si="5"/>
        <v>23583</v>
      </c>
      <c r="AL12" s="452">
        <f t="shared" si="5"/>
        <v>0</v>
      </c>
      <c r="AM12" s="455">
        <f t="shared" si="5"/>
        <v>0</v>
      </c>
      <c r="AN12" s="456">
        <f t="shared" si="5"/>
        <v>3963662</v>
      </c>
      <c r="AO12" s="519">
        <f t="shared" si="5"/>
        <v>3873575</v>
      </c>
      <c r="AP12" s="452">
        <f t="shared" si="5"/>
        <v>1001599</v>
      </c>
      <c r="AQ12" s="455">
        <f t="shared" si="5"/>
        <v>1606772</v>
      </c>
      <c r="AR12" s="456">
        <f t="shared" si="5"/>
        <v>1942719</v>
      </c>
      <c r="AS12" s="519">
        <f t="shared" si="5"/>
        <v>1687837</v>
      </c>
      <c r="AT12" s="452">
        <f t="shared" si="5"/>
        <v>268541</v>
      </c>
      <c r="AU12" s="455">
        <f t="shared" si="5"/>
        <v>251945</v>
      </c>
      <c r="AV12" s="456">
        <f t="shared" si="0"/>
        <v>43898637</v>
      </c>
      <c r="AW12" s="780">
        <f t="shared" si="1"/>
        <v>66129917</v>
      </c>
      <c r="AX12" s="460">
        <f>SUM(AX5:AX11)</f>
        <v>0</v>
      </c>
      <c r="AY12" s="461">
        <f>SUM(AY5:AY11)</f>
        <v>0</v>
      </c>
      <c r="AZ12" s="452">
        <f t="shared" si="2"/>
        <v>43898637</v>
      </c>
      <c r="BA12" s="520">
        <f t="shared" si="3"/>
        <v>66129917</v>
      </c>
    </row>
    <row r="13" spans="1:53" ht="15" thickBot="1">
      <c r="A13" s="234" t="s">
        <v>11</v>
      </c>
      <c r="B13" s="527"/>
      <c r="C13" s="528"/>
      <c r="D13" s="584"/>
      <c r="E13" s="531"/>
      <c r="F13" s="529"/>
      <c r="G13" s="531"/>
      <c r="H13" s="584"/>
      <c r="I13" s="531"/>
      <c r="J13" s="784"/>
      <c r="K13" s="532"/>
      <c r="L13" s="584"/>
      <c r="M13" s="531"/>
      <c r="N13" s="584"/>
      <c r="O13" s="531"/>
      <c r="P13" s="529"/>
      <c r="Q13" s="533"/>
      <c r="R13" s="584"/>
      <c r="S13" s="531"/>
      <c r="T13" s="529">
        <v>0</v>
      </c>
      <c r="U13" s="533"/>
      <c r="V13" s="227"/>
      <c r="W13" s="531"/>
      <c r="X13" s="584"/>
      <c r="Y13" s="531"/>
      <c r="Z13" s="529"/>
      <c r="AA13" s="533"/>
      <c r="AB13" s="534"/>
      <c r="AC13" s="535"/>
      <c r="AD13" s="584"/>
      <c r="AE13" s="531"/>
      <c r="AF13" s="530"/>
      <c r="AG13" s="533"/>
      <c r="AH13" s="584"/>
      <c r="AI13" s="531"/>
      <c r="AJ13" s="584"/>
      <c r="AK13" s="531"/>
      <c r="AL13" s="585"/>
      <c r="AM13" s="532"/>
      <c r="AN13" s="536"/>
      <c r="AO13" s="774"/>
      <c r="AP13" s="777"/>
      <c r="AQ13" s="537"/>
      <c r="AR13" s="538">
        <v>0</v>
      </c>
      <c r="AS13" s="770">
        <v>0</v>
      </c>
      <c r="AT13" s="584"/>
      <c r="AU13" s="531"/>
      <c r="AV13" s="540">
        <f t="shared" si="0"/>
        <v>0</v>
      </c>
      <c r="AW13" s="781">
        <f t="shared" si="1"/>
        <v>0</v>
      </c>
      <c r="AX13" s="783"/>
      <c r="AY13" s="539"/>
      <c r="AZ13" s="527">
        <f t="shared" si="2"/>
        <v>0</v>
      </c>
      <c r="BA13" s="541">
        <f t="shared" si="3"/>
        <v>0</v>
      </c>
    </row>
    <row r="14" spans="1:53" s="269" customFormat="1" ht="15" thickBot="1">
      <c r="A14" s="499" t="s">
        <v>12</v>
      </c>
      <c r="B14" s="452">
        <f t="shared" ref="B14:AG14" si="6">B12+B13</f>
        <v>639165</v>
      </c>
      <c r="C14" s="455">
        <f t="shared" si="6"/>
        <v>881114</v>
      </c>
      <c r="D14" s="452">
        <f t="shared" si="6"/>
        <v>60579</v>
      </c>
      <c r="E14" s="455">
        <f t="shared" si="6"/>
        <v>41671</v>
      </c>
      <c r="F14" s="456">
        <f t="shared" si="6"/>
        <v>300461</v>
      </c>
      <c r="G14" s="455">
        <f t="shared" si="6"/>
        <v>156719</v>
      </c>
      <c r="H14" s="452">
        <f t="shared" si="6"/>
        <v>5715727</v>
      </c>
      <c r="I14" s="455">
        <f t="shared" si="6"/>
        <v>11668739</v>
      </c>
      <c r="J14" s="456">
        <f t="shared" si="6"/>
        <v>1050827</v>
      </c>
      <c r="K14" s="455">
        <f t="shared" si="6"/>
        <v>241469</v>
      </c>
      <c r="L14" s="452">
        <f t="shared" si="6"/>
        <v>4189000</v>
      </c>
      <c r="M14" s="455">
        <f t="shared" si="6"/>
        <v>3632698</v>
      </c>
      <c r="N14" s="452">
        <f t="shared" si="6"/>
        <v>1732447</v>
      </c>
      <c r="O14" s="455">
        <f t="shared" si="6"/>
        <v>447143</v>
      </c>
      <c r="P14" s="456">
        <f>P12+P13</f>
        <v>79760</v>
      </c>
      <c r="Q14" s="519">
        <f>Q12+Q13</f>
        <v>128003</v>
      </c>
      <c r="R14" s="452">
        <f t="shared" si="6"/>
        <v>241885</v>
      </c>
      <c r="S14" s="455">
        <f t="shared" si="6"/>
        <v>433909</v>
      </c>
      <c r="T14" s="456">
        <f t="shared" si="6"/>
        <v>39980</v>
      </c>
      <c r="U14" s="519">
        <f t="shared" si="6"/>
        <v>31634</v>
      </c>
      <c r="V14" s="452">
        <f t="shared" si="6"/>
        <v>9763642</v>
      </c>
      <c r="W14" s="455">
        <f t="shared" si="6"/>
        <v>19605658</v>
      </c>
      <c r="X14" s="452">
        <f t="shared" si="6"/>
        <v>6393396</v>
      </c>
      <c r="Y14" s="455">
        <f t="shared" si="6"/>
        <v>10449107</v>
      </c>
      <c r="Z14" s="456">
        <f t="shared" si="6"/>
        <v>5496</v>
      </c>
      <c r="AA14" s="519">
        <f t="shared" si="6"/>
        <v>9354</v>
      </c>
      <c r="AB14" s="452">
        <f t="shared" si="6"/>
        <v>1235845</v>
      </c>
      <c r="AC14" s="455">
        <f t="shared" si="6"/>
        <v>2521701</v>
      </c>
      <c r="AD14" s="452">
        <f t="shared" si="6"/>
        <v>4378830</v>
      </c>
      <c r="AE14" s="455">
        <f t="shared" si="6"/>
        <v>7839099</v>
      </c>
      <c r="AF14" s="454">
        <f t="shared" si="6"/>
        <v>1481694</v>
      </c>
      <c r="AG14" s="519">
        <f t="shared" si="6"/>
        <v>1749310</v>
      </c>
      <c r="AH14" s="452">
        <f t="shared" ref="AH14:AU14" si="7">AH12+AH13</f>
        <v>625410</v>
      </c>
      <c r="AI14" s="455">
        <f t="shared" si="7"/>
        <v>1242575</v>
      </c>
      <c r="AJ14" s="452">
        <f t="shared" si="7"/>
        <v>-55943</v>
      </c>
      <c r="AK14" s="455">
        <f t="shared" si="7"/>
        <v>23583</v>
      </c>
      <c r="AL14" s="452">
        <f t="shared" si="7"/>
        <v>0</v>
      </c>
      <c r="AM14" s="455">
        <f t="shared" si="7"/>
        <v>0</v>
      </c>
      <c r="AN14" s="456">
        <f t="shared" si="7"/>
        <v>3963662</v>
      </c>
      <c r="AO14" s="519">
        <f t="shared" si="7"/>
        <v>3873575</v>
      </c>
      <c r="AP14" s="452">
        <f t="shared" si="7"/>
        <v>1001599</v>
      </c>
      <c r="AQ14" s="455">
        <f t="shared" si="7"/>
        <v>1606772</v>
      </c>
      <c r="AR14" s="456">
        <f t="shared" si="7"/>
        <v>1942719</v>
      </c>
      <c r="AS14" s="519">
        <f t="shared" si="7"/>
        <v>1687837</v>
      </c>
      <c r="AT14" s="452">
        <f t="shared" si="7"/>
        <v>268541</v>
      </c>
      <c r="AU14" s="455">
        <f t="shared" si="7"/>
        <v>251945</v>
      </c>
      <c r="AV14" s="456">
        <f t="shared" si="0"/>
        <v>43898637</v>
      </c>
      <c r="AW14" s="780">
        <f t="shared" si="1"/>
        <v>66129917</v>
      </c>
      <c r="AX14" s="460">
        <f>AX12+AX13</f>
        <v>0</v>
      </c>
      <c r="AY14" s="461">
        <f>AY12+AY13</f>
        <v>0</v>
      </c>
      <c r="AZ14" s="452">
        <f t="shared" si="2"/>
        <v>43898637</v>
      </c>
      <c r="BA14" s="520">
        <f t="shared" si="3"/>
        <v>66129917</v>
      </c>
    </row>
  </sheetData>
  <mergeCells count="29">
    <mergeCell ref="AR3:AS3"/>
    <mergeCell ref="AT3:AU3"/>
    <mergeCell ref="AV3:AW3"/>
    <mergeCell ref="AX3:AY3"/>
    <mergeCell ref="R3:S3"/>
    <mergeCell ref="T3:U3"/>
    <mergeCell ref="V3:W3"/>
    <mergeCell ref="X3:Y3"/>
    <mergeCell ref="AJ3:AK3"/>
    <mergeCell ref="AL3:AM3"/>
    <mergeCell ref="AN3:AO3"/>
    <mergeCell ref="AF3:AG3"/>
    <mergeCell ref="AH3:AI3"/>
    <mergeCell ref="B3:C3"/>
    <mergeCell ref="AP3:AQ3"/>
    <mergeCell ref="A1:AZ1"/>
    <mergeCell ref="A2:AZ2"/>
    <mergeCell ref="A3:A4"/>
    <mergeCell ref="Z3:AA3"/>
    <mergeCell ref="AB3:AC3"/>
    <mergeCell ref="D3:E3"/>
    <mergeCell ref="F3:G3"/>
    <mergeCell ref="J3:K3"/>
    <mergeCell ref="H3:I3"/>
    <mergeCell ref="L3:M3"/>
    <mergeCell ref="N3:O3"/>
    <mergeCell ref="P3:Q3"/>
    <mergeCell ref="AZ3:BA3"/>
    <mergeCell ref="AD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F21"/>
  <sheetViews>
    <sheetView topLeftCell="A3" workbookViewId="0">
      <pane xSplit="1" topLeftCell="B1" activePane="topRight" state="frozen"/>
      <selection pane="topRight" activeCell="A3" sqref="A1:XFD1048576"/>
    </sheetView>
  </sheetViews>
  <sheetFormatPr defaultRowHeight="16.5"/>
  <cols>
    <col min="1" max="1" width="27.28515625" style="42" bestFit="1" customWidth="1"/>
    <col min="2" max="53" width="12.85546875" style="42" bestFit="1" customWidth="1"/>
    <col min="54" max="58" width="9.140625" style="577"/>
    <col min="59" max="16384" width="9.140625" style="42"/>
  </cols>
  <sheetData>
    <row r="1" spans="1:58" ht="17.25">
      <c r="A1" s="1136" t="s">
        <v>243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  <c r="M1" s="1136"/>
      <c r="N1" s="1136"/>
      <c r="O1" s="1136"/>
      <c r="P1" s="1136"/>
      <c r="Q1" s="1136"/>
      <c r="R1" s="1136"/>
      <c r="S1" s="1136"/>
      <c r="T1" s="1136"/>
      <c r="U1" s="1136"/>
      <c r="V1" s="1136"/>
      <c r="W1" s="1136"/>
      <c r="X1" s="1136"/>
      <c r="Y1" s="1136"/>
      <c r="Z1" s="1136"/>
      <c r="AA1" s="1136"/>
      <c r="AB1" s="1136"/>
      <c r="AC1" s="1136"/>
      <c r="AD1" s="1136"/>
      <c r="AE1" s="1136"/>
      <c r="AF1" s="1136"/>
      <c r="AG1" s="1136"/>
      <c r="AH1" s="1136"/>
      <c r="AI1" s="1136"/>
      <c r="AJ1" s="1136"/>
      <c r="AK1" s="1136"/>
      <c r="AL1" s="1136"/>
      <c r="AM1" s="1136"/>
      <c r="AN1" s="1136"/>
      <c r="AO1" s="1136"/>
      <c r="AP1" s="1136"/>
      <c r="AQ1" s="1136"/>
      <c r="AR1" s="1136"/>
      <c r="AS1" s="1136"/>
      <c r="AT1" s="1136"/>
      <c r="AU1" s="1136"/>
      <c r="AV1" s="1136"/>
      <c r="AW1" s="1136"/>
      <c r="AX1" s="1136"/>
      <c r="AY1" s="1136"/>
      <c r="AZ1" s="1136"/>
    </row>
    <row r="2" spans="1:58" s="409" customFormat="1" ht="17.25" thickBot="1">
      <c r="A2" s="1179" t="s">
        <v>148</v>
      </c>
      <c r="B2" s="1179"/>
      <c r="C2" s="1179"/>
      <c r="D2" s="1179"/>
      <c r="E2" s="1179"/>
      <c r="F2" s="1179"/>
      <c r="G2" s="1179"/>
      <c r="H2" s="1179"/>
      <c r="I2" s="1179"/>
      <c r="J2" s="1179"/>
      <c r="K2" s="1179"/>
      <c r="L2" s="1179"/>
      <c r="M2" s="1179"/>
      <c r="N2" s="1179"/>
      <c r="O2" s="1179"/>
      <c r="P2" s="1179"/>
      <c r="Q2" s="1179"/>
      <c r="R2" s="1179"/>
      <c r="S2" s="1179"/>
      <c r="T2" s="1179"/>
      <c r="U2" s="1179"/>
      <c r="V2" s="1179"/>
      <c r="W2" s="1179"/>
      <c r="X2" s="1179"/>
      <c r="Y2" s="1179"/>
      <c r="Z2" s="1179"/>
      <c r="AA2" s="1179"/>
      <c r="AB2" s="1179"/>
      <c r="AC2" s="1179"/>
      <c r="AD2" s="1179"/>
      <c r="AE2" s="1179"/>
      <c r="AF2" s="1179"/>
      <c r="AG2" s="1179"/>
      <c r="AH2" s="1179"/>
      <c r="AI2" s="1179"/>
      <c r="AJ2" s="1179"/>
      <c r="AK2" s="1179"/>
      <c r="AL2" s="1179"/>
      <c r="AM2" s="1179"/>
      <c r="AN2" s="1179"/>
      <c r="AO2" s="1179"/>
      <c r="AP2" s="1179"/>
      <c r="AQ2" s="1179"/>
      <c r="AR2" s="1179"/>
      <c r="AS2" s="1179"/>
      <c r="AT2" s="1179"/>
      <c r="AU2" s="1179"/>
      <c r="AV2" s="1179"/>
      <c r="AW2" s="1179"/>
      <c r="AX2" s="1179"/>
      <c r="AY2" s="1179"/>
      <c r="AZ2" s="1179"/>
      <c r="BB2" s="578"/>
      <c r="BC2" s="578"/>
      <c r="BD2" s="578"/>
      <c r="BE2" s="578"/>
      <c r="BF2" s="578"/>
    </row>
    <row r="3" spans="1:58" s="409" customFormat="1" ht="60.6" customHeight="1" thickBot="1">
      <c r="A3" s="1180" t="s">
        <v>14</v>
      </c>
      <c r="B3" s="1182" t="s">
        <v>150</v>
      </c>
      <c r="C3" s="1183"/>
      <c r="D3" s="1173" t="s">
        <v>151</v>
      </c>
      <c r="E3" s="1178"/>
      <c r="F3" s="1173" t="s">
        <v>152</v>
      </c>
      <c r="G3" s="1178"/>
      <c r="H3" s="1173" t="s">
        <v>153</v>
      </c>
      <c r="I3" s="1178"/>
      <c r="J3" s="1173" t="s">
        <v>154</v>
      </c>
      <c r="K3" s="1178"/>
      <c r="L3" s="1173" t="s">
        <v>155</v>
      </c>
      <c r="M3" s="1178"/>
      <c r="N3" s="1176" t="s">
        <v>255</v>
      </c>
      <c r="O3" s="1178"/>
      <c r="P3" s="1173" t="s">
        <v>156</v>
      </c>
      <c r="Q3" s="1178"/>
      <c r="R3" s="1173" t="s">
        <v>157</v>
      </c>
      <c r="S3" s="1178"/>
      <c r="T3" s="1173" t="s">
        <v>158</v>
      </c>
      <c r="U3" s="1178"/>
      <c r="V3" s="1173" t="s">
        <v>159</v>
      </c>
      <c r="W3" s="1178"/>
      <c r="X3" s="1176" t="s">
        <v>160</v>
      </c>
      <c r="Y3" s="1173"/>
      <c r="Z3" s="1176" t="s">
        <v>365</v>
      </c>
      <c r="AA3" s="1173"/>
      <c r="AB3" s="1176" t="s">
        <v>161</v>
      </c>
      <c r="AC3" s="1173"/>
      <c r="AD3" s="1174" t="s">
        <v>162</v>
      </c>
      <c r="AE3" s="1175"/>
      <c r="AF3" s="1176" t="s">
        <v>163</v>
      </c>
      <c r="AG3" s="1178"/>
      <c r="AH3" s="1176" t="s">
        <v>164</v>
      </c>
      <c r="AI3" s="1178"/>
      <c r="AJ3" s="1173" t="s">
        <v>165</v>
      </c>
      <c r="AK3" s="1173"/>
      <c r="AL3" s="1174" t="s">
        <v>166</v>
      </c>
      <c r="AM3" s="1177"/>
      <c r="AN3" s="1176" t="s">
        <v>167</v>
      </c>
      <c r="AO3" s="1173"/>
      <c r="AP3" s="1176" t="s">
        <v>168</v>
      </c>
      <c r="AQ3" s="1173"/>
      <c r="AR3" s="1176" t="s">
        <v>169</v>
      </c>
      <c r="AS3" s="1173"/>
      <c r="AT3" s="1176" t="s">
        <v>170</v>
      </c>
      <c r="AU3" s="1173"/>
      <c r="AV3" s="1176" t="s">
        <v>1</v>
      </c>
      <c r="AW3" s="1173"/>
      <c r="AX3" s="1174" t="s">
        <v>171</v>
      </c>
      <c r="AY3" s="1177"/>
      <c r="AZ3" s="1174" t="s">
        <v>2</v>
      </c>
      <c r="BA3" s="1175"/>
      <c r="BB3" s="578"/>
      <c r="BC3" s="578"/>
      <c r="BD3" s="578"/>
      <c r="BE3" s="578"/>
      <c r="BF3" s="578"/>
    </row>
    <row r="4" spans="1:58" s="279" customFormat="1" ht="17.25" thickBot="1">
      <c r="A4" s="1181"/>
      <c r="B4" s="345" t="s">
        <v>254</v>
      </c>
      <c r="C4" s="345" t="s">
        <v>358</v>
      </c>
      <c r="D4" s="345" t="s">
        <v>254</v>
      </c>
      <c r="E4" s="345" t="s">
        <v>358</v>
      </c>
      <c r="F4" s="345" t="s">
        <v>254</v>
      </c>
      <c r="G4" s="345" t="s">
        <v>358</v>
      </c>
      <c r="H4" s="345" t="s">
        <v>254</v>
      </c>
      <c r="I4" s="345" t="s">
        <v>358</v>
      </c>
      <c r="J4" s="345" t="s">
        <v>254</v>
      </c>
      <c r="K4" s="345" t="s">
        <v>358</v>
      </c>
      <c r="L4" s="345" t="s">
        <v>254</v>
      </c>
      <c r="M4" s="345" t="s">
        <v>358</v>
      </c>
      <c r="N4" s="345" t="s">
        <v>254</v>
      </c>
      <c r="O4" s="345" t="s">
        <v>358</v>
      </c>
      <c r="P4" s="345" t="s">
        <v>254</v>
      </c>
      <c r="Q4" s="345" t="s">
        <v>358</v>
      </c>
      <c r="R4" s="345" t="s">
        <v>254</v>
      </c>
      <c r="S4" s="345" t="s">
        <v>358</v>
      </c>
      <c r="T4" s="345" t="s">
        <v>254</v>
      </c>
      <c r="U4" s="345" t="s">
        <v>358</v>
      </c>
      <c r="V4" s="345" t="s">
        <v>254</v>
      </c>
      <c r="W4" s="345" t="s">
        <v>358</v>
      </c>
      <c r="X4" s="345" t="s">
        <v>254</v>
      </c>
      <c r="Y4" s="345" t="s">
        <v>358</v>
      </c>
      <c r="Z4" s="345" t="s">
        <v>254</v>
      </c>
      <c r="AA4" s="345" t="s">
        <v>358</v>
      </c>
      <c r="AB4" s="345" t="s">
        <v>254</v>
      </c>
      <c r="AC4" s="345" t="s">
        <v>358</v>
      </c>
      <c r="AD4" s="345" t="s">
        <v>254</v>
      </c>
      <c r="AE4" s="345" t="s">
        <v>358</v>
      </c>
      <c r="AF4" s="345" t="s">
        <v>254</v>
      </c>
      <c r="AG4" s="345" t="s">
        <v>358</v>
      </c>
      <c r="AH4" s="345" t="s">
        <v>254</v>
      </c>
      <c r="AI4" s="345" t="s">
        <v>358</v>
      </c>
      <c r="AJ4" s="345" t="s">
        <v>254</v>
      </c>
      <c r="AK4" s="345" t="s">
        <v>358</v>
      </c>
      <c r="AL4" s="345" t="s">
        <v>254</v>
      </c>
      <c r="AM4" s="345" t="s">
        <v>358</v>
      </c>
      <c r="AN4" s="345" t="s">
        <v>254</v>
      </c>
      <c r="AO4" s="345" t="s">
        <v>358</v>
      </c>
      <c r="AP4" s="345" t="s">
        <v>254</v>
      </c>
      <c r="AQ4" s="345" t="s">
        <v>358</v>
      </c>
      <c r="AR4" s="345" t="s">
        <v>254</v>
      </c>
      <c r="AS4" s="345" t="s">
        <v>358</v>
      </c>
      <c r="AT4" s="345" t="s">
        <v>254</v>
      </c>
      <c r="AU4" s="345" t="s">
        <v>358</v>
      </c>
      <c r="AV4" s="345" t="s">
        <v>254</v>
      </c>
      <c r="AW4" s="345" t="s">
        <v>358</v>
      </c>
      <c r="AX4" s="345" t="s">
        <v>254</v>
      </c>
      <c r="AY4" s="345" t="s">
        <v>358</v>
      </c>
      <c r="AZ4" s="345" t="s">
        <v>254</v>
      </c>
      <c r="BA4" s="345" t="s">
        <v>358</v>
      </c>
      <c r="BB4" s="337"/>
      <c r="BC4" s="337"/>
      <c r="BD4" s="337"/>
      <c r="BE4" s="337"/>
      <c r="BF4" s="579"/>
    </row>
    <row r="5" spans="1:58" ht="17.25">
      <c r="A5" s="179" t="s">
        <v>3</v>
      </c>
      <c r="B5" s="791">
        <v>316</v>
      </c>
      <c r="C5" s="792">
        <v>364.2</v>
      </c>
      <c r="D5" s="250">
        <v>0.08</v>
      </c>
      <c r="E5" s="249">
        <v>-1E-3</v>
      </c>
      <c r="F5" s="250">
        <v>22.14</v>
      </c>
      <c r="G5" s="249">
        <v>19.02</v>
      </c>
      <c r="H5" s="250">
        <v>364</v>
      </c>
      <c r="I5" s="249">
        <v>592.71</v>
      </c>
      <c r="J5" s="250">
        <v>116.7</v>
      </c>
      <c r="K5" s="249">
        <v>137.53</v>
      </c>
      <c r="L5" s="250">
        <v>1.17</v>
      </c>
      <c r="M5" s="249">
        <v>2.27</v>
      </c>
      <c r="N5" s="246">
        <v>23.79</v>
      </c>
      <c r="O5" s="249">
        <v>22.66</v>
      </c>
      <c r="P5" s="797">
        <v>73.290000000000006</v>
      </c>
      <c r="Q5" s="34">
        <v>76.77</v>
      </c>
      <c r="R5" s="33">
        <v>157.26</v>
      </c>
      <c r="S5" s="34">
        <v>226.68</v>
      </c>
      <c r="T5" s="33">
        <v>10.91</v>
      </c>
      <c r="U5" s="34">
        <v>6.78</v>
      </c>
      <c r="V5" s="33">
        <v>487.55</v>
      </c>
      <c r="W5" s="34">
        <v>620.5</v>
      </c>
      <c r="X5" s="25">
        <v>662</v>
      </c>
      <c r="Y5" s="433">
        <v>1069.8</v>
      </c>
      <c r="Z5" s="436">
        <v>12.61</v>
      </c>
      <c r="AA5" s="803">
        <v>13.97</v>
      </c>
      <c r="AB5" s="246">
        <v>7.35</v>
      </c>
      <c r="AC5" s="248">
        <v>18.21</v>
      </c>
      <c r="AD5" s="246">
        <v>207.03</v>
      </c>
      <c r="AE5" s="249">
        <v>166.06</v>
      </c>
      <c r="AF5" s="246">
        <v>698.11</v>
      </c>
      <c r="AG5" s="249">
        <v>735.71</v>
      </c>
      <c r="AH5" s="246">
        <v>26.01</v>
      </c>
      <c r="AI5" s="249">
        <v>26.35</v>
      </c>
      <c r="AJ5" s="247">
        <v>150.38999999999999</v>
      </c>
      <c r="AK5" s="248">
        <v>157.69999999999999</v>
      </c>
      <c r="AL5" s="246"/>
      <c r="AM5" s="248"/>
      <c r="AN5" s="590">
        <v>1171</v>
      </c>
      <c r="AO5" s="811">
        <v>1851.04</v>
      </c>
      <c r="AP5" s="251">
        <v>10.29</v>
      </c>
      <c r="AQ5" s="586">
        <v>14.62</v>
      </c>
      <c r="AR5" s="252">
        <v>-2.3800000000000002E-2</v>
      </c>
      <c r="AS5" s="804">
        <v>0.02</v>
      </c>
      <c r="AT5" s="246">
        <v>380.89</v>
      </c>
      <c r="AU5" s="248">
        <v>427.23</v>
      </c>
      <c r="AV5" s="253">
        <f t="shared" ref="AV5:AV20" si="0">SUM(B5+D5+F5+H5+J5+L5+N5+P5+R5+T5+V5+X5+Z5+AB5+AD5+AF5+AH5+AJ5+AL5+AN5+AP5+AR5+AT5)</f>
        <v>4898.5462000000007</v>
      </c>
      <c r="AW5" s="807">
        <f t="shared" ref="AW5:AW20" si="1">SUM(C5+E5+G5+I5+K5+M5+O5+Q5+S5+U5+W5+Y5+AA5+AC5+AE5+AG5+AI5+AK5+AM5+AO5+AQ5+AS5+AU5)</f>
        <v>6549.8289999999997</v>
      </c>
      <c r="AX5" s="252">
        <v>24197.65</v>
      </c>
      <c r="AY5" s="252">
        <v>21203.31</v>
      </c>
      <c r="AZ5" s="253">
        <f t="shared" ref="AZ5:AZ20" si="2">AV5+AX5</f>
        <v>29096.196200000002</v>
      </c>
      <c r="BA5" s="254">
        <f t="shared" ref="BA5:BA20" si="3">AW5+AY5</f>
        <v>27753.139000000003</v>
      </c>
    </row>
    <row r="6" spans="1:58" ht="17.25">
      <c r="A6" s="67" t="s">
        <v>4</v>
      </c>
      <c r="B6" s="228">
        <v>440</v>
      </c>
      <c r="C6" s="792">
        <v>558.66</v>
      </c>
      <c r="D6" s="48"/>
      <c r="E6" s="249"/>
      <c r="F6" s="48">
        <v>12.88</v>
      </c>
      <c r="G6" s="249">
        <v>20.14</v>
      </c>
      <c r="H6" s="48">
        <v>231</v>
      </c>
      <c r="I6" s="249">
        <v>451.83</v>
      </c>
      <c r="J6" s="48">
        <v>12.08</v>
      </c>
      <c r="K6" s="249">
        <v>18.7</v>
      </c>
      <c r="L6" s="250">
        <v>487.78</v>
      </c>
      <c r="M6" s="249">
        <v>611.4</v>
      </c>
      <c r="N6" s="43">
        <v>1.07</v>
      </c>
      <c r="O6" s="249">
        <v>0.02</v>
      </c>
      <c r="P6" s="798">
        <v>21.19</v>
      </c>
      <c r="Q6" s="34">
        <v>37.659999999999997</v>
      </c>
      <c r="R6" s="13">
        <v>9.09</v>
      </c>
      <c r="S6" s="34">
        <v>15.78</v>
      </c>
      <c r="T6" s="13">
        <v>20.329999999999998</v>
      </c>
      <c r="U6" s="34">
        <v>14.41</v>
      </c>
      <c r="V6" s="13">
        <v>1863.49</v>
      </c>
      <c r="W6" s="34">
        <v>2142.11</v>
      </c>
      <c r="X6" s="2">
        <v>1206</v>
      </c>
      <c r="Y6" s="433">
        <v>1790.76</v>
      </c>
      <c r="Z6" s="167">
        <v>167.47</v>
      </c>
      <c r="AA6" s="803">
        <v>205.35</v>
      </c>
      <c r="AB6" s="43">
        <v>255.34</v>
      </c>
      <c r="AC6" s="248">
        <v>456.25</v>
      </c>
      <c r="AD6" s="43">
        <v>497.74</v>
      </c>
      <c r="AE6" s="249">
        <v>618.45000000000005</v>
      </c>
      <c r="AF6" s="43">
        <v>1383.78</v>
      </c>
      <c r="AG6" s="249">
        <v>1705.6</v>
      </c>
      <c r="AH6" s="43">
        <v>336.25</v>
      </c>
      <c r="AI6" s="249">
        <v>407.65</v>
      </c>
      <c r="AJ6" s="44">
        <v>4.26</v>
      </c>
      <c r="AK6" s="248">
        <v>5.5</v>
      </c>
      <c r="AL6" s="43"/>
      <c r="AM6" s="248"/>
      <c r="AN6" s="565">
        <v>2773</v>
      </c>
      <c r="AO6" s="811">
        <v>4110.55</v>
      </c>
      <c r="AP6" s="49">
        <v>1.28</v>
      </c>
      <c r="AQ6" s="586">
        <v>1.88</v>
      </c>
      <c r="AR6" s="51">
        <v>271.25</v>
      </c>
      <c r="AS6" s="804">
        <v>453.22</v>
      </c>
      <c r="AT6" s="43">
        <v>967.22</v>
      </c>
      <c r="AU6" s="248">
        <v>1050.55</v>
      </c>
      <c r="AV6" s="253">
        <f t="shared" si="0"/>
        <v>10962.5</v>
      </c>
      <c r="AW6" s="807">
        <f t="shared" si="1"/>
        <v>14676.469999999998</v>
      </c>
      <c r="AX6" s="51">
        <v>848.33</v>
      </c>
      <c r="AY6" s="51">
        <v>459.67</v>
      </c>
      <c r="AZ6" s="52">
        <f t="shared" si="2"/>
        <v>11810.83</v>
      </c>
      <c r="BA6" s="180">
        <f t="shared" si="3"/>
        <v>15136.139999999998</v>
      </c>
    </row>
    <row r="7" spans="1:58" ht="17.25">
      <c r="A7" s="67" t="s">
        <v>5</v>
      </c>
      <c r="B7" s="228">
        <v>4</v>
      </c>
      <c r="C7" s="792">
        <v>3.74</v>
      </c>
      <c r="D7" s="48">
        <v>2.54</v>
      </c>
      <c r="E7" s="249">
        <v>-0.2</v>
      </c>
      <c r="F7" s="48">
        <v>5.07</v>
      </c>
      <c r="G7" s="249">
        <v>3.36</v>
      </c>
      <c r="H7" s="48">
        <v>35</v>
      </c>
      <c r="I7" s="249">
        <v>32.299999999999997</v>
      </c>
      <c r="J7" s="48">
        <v>38.619999999999997</v>
      </c>
      <c r="K7" s="249">
        <v>63.48</v>
      </c>
      <c r="L7" s="48">
        <v>0.14000000000000001</v>
      </c>
      <c r="M7" s="46">
        <v>0.17</v>
      </c>
      <c r="N7" s="43">
        <v>1.26</v>
      </c>
      <c r="O7" s="249">
        <v>7.05</v>
      </c>
      <c r="P7" s="798">
        <v>9.3699999999999992</v>
      </c>
      <c r="Q7" s="34">
        <v>15.98</v>
      </c>
      <c r="R7" s="13">
        <v>2.8</v>
      </c>
      <c r="S7" s="34">
        <v>3.13</v>
      </c>
      <c r="T7" s="13">
        <v>4.34</v>
      </c>
      <c r="U7" s="34">
        <v>4.96</v>
      </c>
      <c r="V7" s="13">
        <v>132.6</v>
      </c>
      <c r="W7" s="34">
        <v>200.51</v>
      </c>
      <c r="X7" s="2">
        <v>98</v>
      </c>
      <c r="Y7" s="433">
        <v>157.52000000000001</v>
      </c>
      <c r="Z7" s="167"/>
      <c r="AA7" s="803"/>
      <c r="AB7" s="43">
        <v>10.63</v>
      </c>
      <c r="AC7" s="248">
        <v>10.029999999999999</v>
      </c>
      <c r="AD7" s="43">
        <v>4.54</v>
      </c>
      <c r="AE7" s="249">
        <v>3.94</v>
      </c>
      <c r="AF7" s="43">
        <v>38.35</v>
      </c>
      <c r="AG7" s="249">
        <v>38.79</v>
      </c>
      <c r="AH7" s="43">
        <v>4.42</v>
      </c>
      <c r="AI7" s="249">
        <v>12.45</v>
      </c>
      <c r="AJ7" s="44">
        <v>12.37</v>
      </c>
      <c r="AK7" s="248">
        <v>19.11</v>
      </c>
      <c r="AL7" s="43"/>
      <c r="AM7" s="248"/>
      <c r="AN7" s="566">
        <v>106</v>
      </c>
      <c r="AO7" s="811">
        <v>162.99</v>
      </c>
      <c r="AP7" s="49">
        <v>86.76</v>
      </c>
      <c r="AQ7" s="586">
        <v>124.05</v>
      </c>
      <c r="AR7" s="51"/>
      <c r="AS7" s="804"/>
      <c r="AT7" s="43">
        <v>27.33</v>
      </c>
      <c r="AU7" s="248">
        <v>29.84</v>
      </c>
      <c r="AV7" s="253">
        <f t="shared" si="0"/>
        <v>624.1400000000001</v>
      </c>
      <c r="AW7" s="807">
        <f t="shared" si="1"/>
        <v>893.2</v>
      </c>
      <c r="AX7" s="51">
        <v>28.45</v>
      </c>
      <c r="AY7" s="51">
        <v>21.97</v>
      </c>
      <c r="AZ7" s="52">
        <f t="shared" si="2"/>
        <v>652.59000000000015</v>
      </c>
      <c r="BA7" s="180">
        <f t="shared" si="3"/>
        <v>915.17000000000007</v>
      </c>
    </row>
    <row r="8" spans="1:58" ht="17.25">
      <c r="A8" s="67" t="s">
        <v>6</v>
      </c>
      <c r="B8" s="228">
        <v>5</v>
      </c>
      <c r="C8" s="792">
        <v>8.7200000000000006</v>
      </c>
      <c r="D8" s="48">
        <v>2.38</v>
      </c>
      <c r="E8" s="249">
        <v>1.29</v>
      </c>
      <c r="F8" s="48">
        <v>2.54</v>
      </c>
      <c r="G8" s="249">
        <v>0.78</v>
      </c>
      <c r="H8" s="48">
        <v>30</v>
      </c>
      <c r="I8" s="249">
        <v>65.92</v>
      </c>
      <c r="J8" s="48">
        <v>59.15</v>
      </c>
      <c r="K8" s="249">
        <v>46.76</v>
      </c>
      <c r="L8" s="48">
        <v>1.68</v>
      </c>
      <c r="M8" s="46">
        <v>1.81</v>
      </c>
      <c r="N8" s="43">
        <v>-0.02</v>
      </c>
      <c r="O8" s="249">
        <v>-0.01</v>
      </c>
      <c r="P8" s="798">
        <v>11.07</v>
      </c>
      <c r="Q8" s="34">
        <v>8.41</v>
      </c>
      <c r="R8" s="13">
        <v>39.17</v>
      </c>
      <c r="S8" s="34">
        <v>62.85</v>
      </c>
      <c r="T8" s="13">
        <v>2.89</v>
      </c>
      <c r="U8" s="34">
        <v>2.73</v>
      </c>
      <c r="V8" s="13">
        <v>180.99</v>
      </c>
      <c r="W8" s="34">
        <v>226.15</v>
      </c>
      <c r="X8" s="2">
        <v>96</v>
      </c>
      <c r="Y8" s="433">
        <v>148.43</v>
      </c>
      <c r="Z8" s="167">
        <v>6.18</v>
      </c>
      <c r="AA8" s="803">
        <v>17.829999999999998</v>
      </c>
      <c r="AB8" s="43">
        <v>1.82</v>
      </c>
      <c r="AC8" s="248">
        <v>9.31</v>
      </c>
      <c r="AD8" s="43">
        <v>19.05</v>
      </c>
      <c r="AE8" s="249">
        <v>23.72</v>
      </c>
      <c r="AF8" s="43">
        <v>5.07</v>
      </c>
      <c r="AG8" s="249">
        <v>17</v>
      </c>
      <c r="AH8" s="43">
        <v>18.2</v>
      </c>
      <c r="AI8" s="249">
        <v>14.68</v>
      </c>
      <c r="AJ8" s="44">
        <v>12.36</v>
      </c>
      <c r="AK8" s="248">
        <v>8.06</v>
      </c>
      <c r="AL8" s="43"/>
      <c r="AM8" s="248"/>
      <c r="AN8" s="566">
        <v>1</v>
      </c>
      <c r="AO8" s="811">
        <v>0.9</v>
      </c>
      <c r="AP8" s="49">
        <v>21.33</v>
      </c>
      <c r="AQ8" s="586">
        <v>16.68</v>
      </c>
      <c r="AR8" s="51">
        <v>-3.0000000000000001E-3</v>
      </c>
      <c r="AS8" s="804">
        <v>-8.9999999999999993E-3</v>
      </c>
      <c r="AT8" s="43">
        <v>88.21</v>
      </c>
      <c r="AU8" s="248">
        <v>158.9</v>
      </c>
      <c r="AV8" s="253">
        <f t="shared" si="0"/>
        <v>604.06700000000001</v>
      </c>
      <c r="AW8" s="807">
        <f t="shared" si="1"/>
        <v>840.91099999999972</v>
      </c>
      <c r="AX8" s="51">
        <v>18.12</v>
      </c>
      <c r="AY8" s="51">
        <v>5.82</v>
      </c>
      <c r="AZ8" s="52">
        <f t="shared" si="2"/>
        <v>622.18700000000001</v>
      </c>
      <c r="BA8" s="180">
        <f t="shared" si="3"/>
        <v>846.73099999999977</v>
      </c>
    </row>
    <row r="9" spans="1:58" ht="17.25">
      <c r="A9" s="67" t="s">
        <v>7</v>
      </c>
      <c r="B9" s="53"/>
      <c r="C9" s="792"/>
      <c r="D9" s="50"/>
      <c r="E9" s="249"/>
      <c r="F9" s="50"/>
      <c r="G9" s="249"/>
      <c r="H9" s="50"/>
      <c r="I9" s="249"/>
      <c r="J9" s="50"/>
      <c r="K9" s="249"/>
      <c r="L9" s="48"/>
      <c r="M9" s="46"/>
      <c r="N9" s="52"/>
      <c r="O9" s="249"/>
      <c r="P9" s="798"/>
      <c r="Q9" s="34"/>
      <c r="R9" s="21"/>
      <c r="S9" s="34"/>
      <c r="T9" s="21"/>
      <c r="U9" s="34"/>
      <c r="V9" s="21"/>
      <c r="W9" s="34"/>
      <c r="X9" s="5"/>
      <c r="Y9" s="433"/>
      <c r="Z9" s="167"/>
      <c r="AA9" s="803"/>
      <c r="AB9" s="52"/>
      <c r="AC9" s="248"/>
      <c r="AD9" s="437">
        <v>0.03</v>
      </c>
      <c r="AE9" s="249">
        <v>0.03</v>
      </c>
      <c r="AF9" s="52"/>
      <c r="AG9" s="249"/>
      <c r="AH9" s="52"/>
      <c r="AI9" s="249"/>
      <c r="AJ9" s="54"/>
      <c r="AK9" s="248"/>
      <c r="AL9" s="43"/>
      <c r="AM9" s="248"/>
      <c r="AN9" s="567"/>
      <c r="AO9" s="811"/>
      <c r="AP9" s="49"/>
      <c r="AQ9" s="586"/>
      <c r="AR9" s="51"/>
      <c r="AS9" s="804"/>
      <c r="AT9" s="52">
        <v>0.37</v>
      </c>
      <c r="AU9" s="248">
        <v>0.36</v>
      </c>
      <c r="AV9" s="253">
        <f t="shared" si="0"/>
        <v>0.4</v>
      </c>
      <c r="AW9" s="807">
        <f t="shared" si="1"/>
        <v>0.39</v>
      </c>
      <c r="AX9" s="52">
        <v>111.93</v>
      </c>
      <c r="AY9" s="52">
        <v>85.74</v>
      </c>
      <c r="AZ9" s="52">
        <f t="shared" si="2"/>
        <v>112.33000000000001</v>
      </c>
      <c r="BA9" s="180">
        <f t="shared" si="3"/>
        <v>86.13</v>
      </c>
    </row>
    <row r="10" spans="1:58" ht="17.25">
      <c r="A10" s="67" t="s">
        <v>15</v>
      </c>
      <c r="B10" s="228"/>
      <c r="C10" s="792"/>
      <c r="D10" s="48"/>
      <c r="E10" s="249"/>
      <c r="F10" s="48"/>
      <c r="G10" s="249"/>
      <c r="H10" s="48"/>
      <c r="I10" s="249"/>
      <c r="J10" s="48"/>
      <c r="K10" s="249"/>
      <c r="L10" s="48"/>
      <c r="M10" s="46"/>
      <c r="N10" s="43"/>
      <c r="O10" s="249"/>
      <c r="P10" s="798"/>
      <c r="Q10" s="34"/>
      <c r="R10" s="13"/>
      <c r="S10" s="34"/>
      <c r="T10" s="13"/>
      <c r="U10" s="34"/>
      <c r="V10" s="13"/>
      <c r="W10" s="34"/>
      <c r="X10" s="2"/>
      <c r="Y10" s="433"/>
      <c r="Z10" s="1"/>
      <c r="AA10" s="803"/>
      <c r="AB10" s="43">
        <v>2.11</v>
      </c>
      <c r="AC10" s="248">
        <v>2.61</v>
      </c>
      <c r="AD10" s="43"/>
      <c r="AE10" s="249">
        <v>5.0000000000000001E-3</v>
      </c>
      <c r="AF10" s="43"/>
      <c r="AG10" s="249"/>
      <c r="AH10" s="43"/>
      <c r="AI10" s="249"/>
      <c r="AJ10" s="44"/>
      <c r="AK10" s="248"/>
      <c r="AL10" s="43"/>
      <c r="AM10" s="248"/>
      <c r="AN10" s="566"/>
      <c r="AO10" s="811"/>
      <c r="AP10" s="49"/>
      <c r="AQ10" s="586"/>
      <c r="AR10" s="51"/>
      <c r="AS10" s="804"/>
      <c r="AT10" s="43"/>
      <c r="AU10" s="248"/>
      <c r="AV10" s="253">
        <f t="shared" si="0"/>
        <v>2.11</v>
      </c>
      <c r="AW10" s="807">
        <f t="shared" si="1"/>
        <v>2.6149999999999998</v>
      </c>
      <c r="AX10" s="51">
        <v>11.08</v>
      </c>
      <c r="AY10" s="51">
        <v>18.36</v>
      </c>
      <c r="AZ10" s="52">
        <f t="shared" si="2"/>
        <v>13.19</v>
      </c>
      <c r="BA10" s="180">
        <f t="shared" si="3"/>
        <v>20.974999999999998</v>
      </c>
    </row>
    <row r="11" spans="1:58" ht="17.25">
      <c r="A11" s="67" t="s">
        <v>364</v>
      </c>
      <c r="B11" s="228">
        <v>27</v>
      </c>
      <c r="C11" s="792"/>
      <c r="D11" s="48">
        <v>16.75</v>
      </c>
      <c r="E11" s="249">
        <f>1.36+2.61</f>
        <v>3.9699999999999998</v>
      </c>
      <c r="F11" s="48">
        <f>2.96+18.1</f>
        <v>21.060000000000002</v>
      </c>
      <c r="G11" s="249"/>
      <c r="H11" s="48">
        <v>101</v>
      </c>
      <c r="I11" s="249"/>
      <c r="J11" s="48">
        <v>42.16</v>
      </c>
      <c r="K11" s="249"/>
      <c r="L11" s="48">
        <v>13.4</v>
      </c>
      <c r="M11" s="46"/>
      <c r="N11" s="43">
        <v>31.82</v>
      </c>
      <c r="O11" s="249"/>
      <c r="P11" s="798">
        <v>35.65</v>
      </c>
      <c r="Q11" s="34"/>
      <c r="R11" s="13">
        <v>21.21</v>
      </c>
      <c r="S11" s="34"/>
      <c r="T11" s="13">
        <v>77.81</v>
      </c>
      <c r="U11" s="34"/>
      <c r="V11" s="13">
        <v>1502.61</v>
      </c>
      <c r="W11" s="34"/>
      <c r="X11" s="2">
        <v>490</v>
      </c>
      <c r="Y11" s="433"/>
      <c r="Z11" s="1">
        <v>7.49</v>
      </c>
      <c r="AA11" s="803"/>
      <c r="AB11" s="43">
        <v>10.51</v>
      </c>
      <c r="AC11" s="248">
        <v>26.88</v>
      </c>
      <c r="AD11" s="43">
        <v>219.12</v>
      </c>
      <c r="AE11" s="249"/>
      <c r="AF11" s="43">
        <v>211.86</v>
      </c>
      <c r="AG11" s="249"/>
      <c r="AH11" s="43">
        <v>144.49</v>
      </c>
      <c r="AI11" s="249"/>
      <c r="AJ11" s="44">
        <v>190.84</v>
      </c>
      <c r="AK11" s="248"/>
      <c r="AL11" s="43"/>
      <c r="AM11" s="248"/>
      <c r="AN11" s="566">
        <v>156</v>
      </c>
      <c r="AO11" s="811"/>
      <c r="AP11" s="49">
        <v>81.47</v>
      </c>
      <c r="AQ11" s="586"/>
      <c r="AR11" s="51">
        <v>7.8</v>
      </c>
      <c r="AS11" s="804"/>
      <c r="AT11" s="43"/>
      <c r="AU11" s="248"/>
      <c r="AV11" s="253">
        <f t="shared" si="0"/>
        <v>3410.0499999999997</v>
      </c>
      <c r="AW11" s="807">
        <f t="shared" si="1"/>
        <v>30.849999999999998</v>
      </c>
      <c r="AX11" s="51"/>
      <c r="AY11" s="51"/>
      <c r="AZ11" s="52">
        <f t="shared" si="2"/>
        <v>3410.0499999999997</v>
      </c>
      <c r="BA11" s="180">
        <f t="shared" si="3"/>
        <v>30.849999999999998</v>
      </c>
    </row>
    <row r="12" spans="1:58" ht="17.25">
      <c r="A12" s="67" t="s">
        <v>363</v>
      </c>
      <c r="B12" s="228"/>
      <c r="C12" s="792">
        <v>2.56</v>
      </c>
      <c r="D12" s="48"/>
      <c r="E12" s="249"/>
      <c r="F12" s="48"/>
      <c r="G12" s="249">
        <v>0.56000000000000005</v>
      </c>
      <c r="H12" s="48"/>
      <c r="I12" s="249">
        <v>8.44</v>
      </c>
      <c r="J12" s="48"/>
      <c r="K12" s="249">
        <v>13.33</v>
      </c>
      <c r="L12" s="48"/>
      <c r="M12" s="46">
        <v>5.57</v>
      </c>
      <c r="N12" s="43"/>
      <c r="O12" s="249"/>
      <c r="P12" s="798"/>
      <c r="Q12" s="34">
        <v>3.37</v>
      </c>
      <c r="R12" s="13"/>
      <c r="S12" s="34"/>
      <c r="T12" s="13"/>
      <c r="U12" s="34">
        <v>1.04</v>
      </c>
      <c r="V12" s="13"/>
      <c r="W12" s="34">
        <v>558.36</v>
      </c>
      <c r="X12" s="2"/>
      <c r="Y12" s="433">
        <v>90.78</v>
      </c>
      <c r="Z12" s="1"/>
      <c r="AA12" s="803">
        <v>1.9E-2</v>
      </c>
      <c r="AB12" s="43"/>
      <c r="AC12" s="248"/>
      <c r="AD12" s="43"/>
      <c r="AE12" s="249">
        <v>1.51</v>
      </c>
      <c r="AF12" s="43"/>
      <c r="AG12" s="249">
        <v>31.53</v>
      </c>
      <c r="AH12" s="43"/>
      <c r="AI12" s="249">
        <v>1.33</v>
      </c>
      <c r="AJ12" s="44"/>
      <c r="AK12" s="248">
        <v>0.13</v>
      </c>
      <c r="AL12" s="43"/>
      <c r="AM12" s="248"/>
      <c r="AN12" s="566"/>
      <c r="AO12" s="811">
        <v>11.31</v>
      </c>
      <c r="AP12" s="49"/>
      <c r="AQ12" s="586">
        <v>1.68</v>
      </c>
      <c r="AR12" s="51"/>
      <c r="AS12" s="804"/>
      <c r="AT12" s="43"/>
      <c r="AU12" s="248">
        <v>6.29</v>
      </c>
      <c r="AV12" s="253"/>
      <c r="AW12" s="807"/>
      <c r="AX12" s="51">
        <v>292.76</v>
      </c>
      <c r="AY12" s="51">
        <v>49.11</v>
      </c>
      <c r="AZ12" s="52"/>
      <c r="BA12" s="180"/>
    </row>
    <row r="13" spans="1:58" ht="17.25">
      <c r="A13" s="67" t="s">
        <v>74</v>
      </c>
      <c r="B13" s="228"/>
      <c r="C13" s="792">
        <v>40.200000000000003</v>
      </c>
      <c r="D13" s="48"/>
      <c r="E13" s="249"/>
      <c r="F13" s="48"/>
      <c r="G13" s="249">
        <v>25.26</v>
      </c>
      <c r="H13" s="48"/>
      <c r="I13" s="249">
        <v>207.29</v>
      </c>
      <c r="J13" s="48"/>
      <c r="K13" s="249">
        <v>24.78</v>
      </c>
      <c r="L13" s="48"/>
      <c r="M13" s="46">
        <v>8.6300000000000008</v>
      </c>
      <c r="N13" s="43"/>
      <c r="O13" s="249">
        <v>29.71</v>
      </c>
      <c r="P13" s="798"/>
      <c r="Q13" s="34">
        <v>23.02</v>
      </c>
      <c r="R13" s="13"/>
      <c r="S13" s="34">
        <v>36.520000000000003</v>
      </c>
      <c r="T13" s="13"/>
      <c r="U13" s="34">
        <v>70.510000000000005</v>
      </c>
      <c r="V13" s="13"/>
      <c r="W13" s="34">
        <v>1239.93</v>
      </c>
      <c r="X13" s="2"/>
      <c r="Y13" s="433">
        <v>659.04</v>
      </c>
      <c r="Z13" s="1"/>
      <c r="AA13" s="803">
        <v>12.84</v>
      </c>
      <c r="AB13" s="43"/>
      <c r="AC13" s="248"/>
      <c r="AD13" s="43"/>
      <c r="AE13" s="249">
        <v>252.84</v>
      </c>
      <c r="AF13" s="43"/>
      <c r="AG13" s="249">
        <v>154.24</v>
      </c>
      <c r="AH13" s="43"/>
      <c r="AI13" s="249">
        <v>147.93</v>
      </c>
      <c r="AJ13" s="44"/>
      <c r="AK13" s="248">
        <v>198.11</v>
      </c>
      <c r="AL13" s="43"/>
      <c r="AM13" s="248"/>
      <c r="AN13" s="566"/>
      <c r="AO13" s="811">
        <v>336.64</v>
      </c>
      <c r="AP13" s="49"/>
      <c r="AQ13" s="586">
        <v>75.150000000000006</v>
      </c>
      <c r="AR13" s="51"/>
      <c r="AS13" s="804">
        <v>1.24</v>
      </c>
      <c r="AT13" s="43">
        <v>59.31</v>
      </c>
      <c r="AU13" s="248">
        <v>64.81</v>
      </c>
      <c r="AV13" s="253"/>
      <c r="AW13" s="807"/>
      <c r="AX13" s="51">
        <v>397.42</v>
      </c>
      <c r="AY13" s="51">
        <v>56.34</v>
      </c>
      <c r="AZ13" s="52"/>
      <c r="BA13" s="180"/>
    </row>
    <row r="14" spans="1:58" ht="17.25">
      <c r="A14" s="67" t="s">
        <v>16</v>
      </c>
      <c r="B14" s="228"/>
      <c r="C14" s="792">
        <v>0.49</v>
      </c>
      <c r="D14" s="48"/>
      <c r="E14" s="249"/>
      <c r="F14" s="48"/>
      <c r="G14" s="46"/>
      <c r="H14" s="48">
        <v>23</v>
      </c>
      <c r="I14" s="249">
        <v>3.98</v>
      </c>
      <c r="J14" s="48"/>
      <c r="K14" s="46">
        <v>0.04</v>
      </c>
      <c r="L14" s="48"/>
      <c r="M14" s="46">
        <v>5.51</v>
      </c>
      <c r="N14" s="43"/>
      <c r="O14" s="46"/>
      <c r="P14" s="798"/>
      <c r="Q14" s="47"/>
      <c r="R14" s="13">
        <v>9.09</v>
      </c>
      <c r="S14" s="34">
        <v>3.84</v>
      </c>
      <c r="T14" s="13"/>
      <c r="U14" s="3"/>
      <c r="V14" s="13"/>
      <c r="W14" s="34"/>
      <c r="X14" s="2"/>
      <c r="Y14" s="433"/>
      <c r="Z14" s="1"/>
      <c r="AA14" s="166">
        <v>0.16</v>
      </c>
      <c r="AB14" s="43"/>
      <c r="AC14" s="45"/>
      <c r="AD14" s="43">
        <v>0.03</v>
      </c>
      <c r="AE14" s="249">
        <v>1.57</v>
      </c>
      <c r="AF14" s="43"/>
      <c r="AG14" s="249"/>
      <c r="AH14" s="43"/>
      <c r="AI14" s="249"/>
      <c r="AJ14" s="44"/>
      <c r="AK14" s="248"/>
      <c r="AL14" s="43"/>
      <c r="AM14" s="248"/>
      <c r="AN14" s="566"/>
      <c r="AO14" s="438"/>
      <c r="AP14" s="49"/>
      <c r="AQ14" s="587"/>
      <c r="AR14" s="51"/>
      <c r="AS14" s="441"/>
      <c r="AT14" s="43"/>
      <c r="AU14" s="45"/>
      <c r="AV14" s="253">
        <f t="shared" si="0"/>
        <v>32.120000000000005</v>
      </c>
      <c r="AW14" s="807">
        <f t="shared" si="1"/>
        <v>15.59</v>
      </c>
      <c r="AX14" s="51"/>
      <c r="AY14" s="51">
        <v>5.2</v>
      </c>
      <c r="AZ14" s="52">
        <f t="shared" si="2"/>
        <v>32.120000000000005</v>
      </c>
      <c r="BA14" s="180">
        <f t="shared" si="3"/>
        <v>20.79</v>
      </c>
    </row>
    <row r="15" spans="1:58" ht="17.25">
      <c r="A15" s="67" t="s">
        <v>17</v>
      </c>
      <c r="B15" s="228"/>
      <c r="C15" s="792"/>
      <c r="D15" s="48">
        <v>0.03</v>
      </c>
      <c r="E15" s="249">
        <v>2.2999999999999998</v>
      </c>
      <c r="F15" s="48">
        <v>2.2000000000000002</v>
      </c>
      <c r="G15" s="46">
        <v>2.34</v>
      </c>
      <c r="H15" s="48"/>
      <c r="I15" s="249"/>
      <c r="J15" s="48"/>
      <c r="K15" s="46"/>
      <c r="L15" s="48"/>
      <c r="M15" s="46"/>
      <c r="N15" s="43"/>
      <c r="O15" s="46"/>
      <c r="P15" s="798"/>
      <c r="Q15" s="47"/>
      <c r="R15" s="13"/>
      <c r="S15" s="34"/>
      <c r="T15" s="13"/>
      <c r="U15" s="3">
        <v>2.5299999999999998</v>
      </c>
      <c r="V15" s="13">
        <v>1.97</v>
      </c>
      <c r="W15" s="34">
        <v>1.88</v>
      </c>
      <c r="X15" s="2">
        <v>22</v>
      </c>
      <c r="Y15" s="433">
        <v>21.75</v>
      </c>
      <c r="Z15" s="1"/>
      <c r="AA15" s="166"/>
      <c r="AB15" s="43"/>
      <c r="AC15" s="45"/>
      <c r="AD15" s="43"/>
      <c r="AE15" s="46"/>
      <c r="AF15" s="43"/>
      <c r="AG15" s="46">
        <v>43.56</v>
      </c>
      <c r="AH15" s="43"/>
      <c r="AI15" s="249">
        <v>11.29</v>
      </c>
      <c r="AJ15" s="44"/>
      <c r="AK15" s="248"/>
      <c r="AL15" s="43"/>
      <c r="AM15" s="248"/>
      <c r="AN15" s="566"/>
      <c r="AO15" s="438">
        <v>0.06</v>
      </c>
      <c r="AP15" s="49"/>
      <c r="AQ15" s="587"/>
      <c r="AR15" s="51"/>
      <c r="AS15" s="441"/>
      <c r="AT15" s="43"/>
      <c r="AU15" s="45"/>
      <c r="AV15" s="253">
        <f t="shared" si="0"/>
        <v>26.2</v>
      </c>
      <c r="AW15" s="807">
        <f t="shared" si="1"/>
        <v>85.710000000000008</v>
      </c>
      <c r="AX15" s="51"/>
      <c r="AY15" s="51"/>
      <c r="AZ15" s="52">
        <f t="shared" si="2"/>
        <v>26.2</v>
      </c>
      <c r="BA15" s="180">
        <f t="shared" si="3"/>
        <v>85.710000000000008</v>
      </c>
    </row>
    <row r="16" spans="1:58" ht="17.25">
      <c r="A16" s="67" t="s">
        <v>173</v>
      </c>
      <c r="B16" s="228"/>
      <c r="C16" s="792"/>
      <c r="D16" s="48"/>
      <c r="E16" s="249"/>
      <c r="F16" s="48"/>
      <c r="G16" s="46"/>
      <c r="H16" s="48">
        <v>22</v>
      </c>
      <c r="I16" s="249"/>
      <c r="J16" s="48"/>
      <c r="K16" s="46"/>
      <c r="L16" s="48"/>
      <c r="M16" s="46"/>
      <c r="N16" s="43"/>
      <c r="O16" s="46"/>
      <c r="P16" s="798"/>
      <c r="Q16" s="47"/>
      <c r="R16" s="13"/>
      <c r="S16" s="3"/>
      <c r="T16" s="13"/>
      <c r="U16" s="3"/>
      <c r="V16" s="13"/>
      <c r="W16" s="34"/>
      <c r="X16" s="2">
        <v>56</v>
      </c>
      <c r="Y16" s="433"/>
      <c r="Z16" s="1"/>
      <c r="AA16" s="166"/>
      <c r="AB16" s="43"/>
      <c r="AC16" s="45"/>
      <c r="AD16" s="43"/>
      <c r="AE16" s="46"/>
      <c r="AF16" s="43"/>
      <c r="AG16" s="46"/>
      <c r="AH16" s="43"/>
      <c r="AI16" s="249"/>
      <c r="AJ16" s="44"/>
      <c r="AK16" s="248"/>
      <c r="AL16" s="43"/>
      <c r="AM16" s="248"/>
      <c r="AN16" s="566"/>
      <c r="AO16" s="438"/>
      <c r="AP16" s="49"/>
      <c r="AQ16" s="587"/>
      <c r="AR16" s="51"/>
      <c r="AS16" s="441"/>
      <c r="AT16" s="43"/>
      <c r="AU16" s="45"/>
      <c r="AV16" s="253">
        <f t="shared" si="0"/>
        <v>78</v>
      </c>
      <c r="AW16" s="807">
        <f t="shared" si="1"/>
        <v>0</v>
      </c>
      <c r="AX16" s="51"/>
      <c r="AY16" s="51"/>
      <c r="AZ16" s="52">
        <f t="shared" si="2"/>
        <v>78</v>
      </c>
      <c r="BA16" s="180">
        <f t="shared" si="3"/>
        <v>0</v>
      </c>
    </row>
    <row r="17" spans="1:58" ht="18" thickBot="1">
      <c r="A17" s="181" t="s">
        <v>19</v>
      </c>
      <c r="B17" s="793"/>
      <c r="C17" s="792">
        <v>1.76</v>
      </c>
      <c r="D17" s="186"/>
      <c r="E17" s="249"/>
      <c r="F17" s="186">
        <v>0.01</v>
      </c>
      <c r="G17" s="185"/>
      <c r="H17" s="186">
        <v>80</v>
      </c>
      <c r="I17" s="249">
        <v>53.62</v>
      </c>
      <c r="J17" s="186"/>
      <c r="K17" s="185">
        <v>0.11</v>
      </c>
      <c r="L17" s="186"/>
      <c r="M17" s="185">
        <v>2.86</v>
      </c>
      <c r="N17" s="182"/>
      <c r="O17" s="185"/>
      <c r="P17" s="799">
        <v>2.52</v>
      </c>
      <c r="Q17" s="201">
        <v>0.6</v>
      </c>
      <c r="R17" s="202"/>
      <c r="S17" s="204"/>
      <c r="T17" s="202">
        <v>0.09</v>
      </c>
      <c r="U17" s="204"/>
      <c r="V17" s="202">
        <v>32.229999999999997</v>
      </c>
      <c r="W17" s="34">
        <v>13.96</v>
      </c>
      <c r="X17" s="203">
        <v>31</v>
      </c>
      <c r="Y17" s="433">
        <v>18.39</v>
      </c>
      <c r="Z17" s="200"/>
      <c r="AA17" s="434"/>
      <c r="AB17" s="182"/>
      <c r="AC17" s="184"/>
      <c r="AD17" s="182"/>
      <c r="AE17" s="185">
        <v>1.0900000000000001</v>
      </c>
      <c r="AF17" s="182"/>
      <c r="AG17" s="185">
        <v>39.29</v>
      </c>
      <c r="AH17" s="182">
        <v>7.76</v>
      </c>
      <c r="AI17" s="249">
        <v>11.8</v>
      </c>
      <c r="AJ17" s="183">
        <v>0.1</v>
      </c>
      <c r="AK17" s="248">
        <v>0.05</v>
      </c>
      <c r="AL17" s="182"/>
      <c r="AM17" s="248"/>
      <c r="AN17" s="591"/>
      <c r="AO17" s="439">
        <v>1.54</v>
      </c>
      <c r="AP17" s="187"/>
      <c r="AQ17" s="588"/>
      <c r="AR17" s="188"/>
      <c r="AS17" s="442"/>
      <c r="AT17" s="182">
        <v>43.82</v>
      </c>
      <c r="AU17" s="184">
        <v>53.49</v>
      </c>
      <c r="AV17" s="253">
        <f t="shared" si="0"/>
        <v>197.52999999999997</v>
      </c>
      <c r="AW17" s="807">
        <f t="shared" si="1"/>
        <v>198.56000000000003</v>
      </c>
      <c r="AX17" s="188"/>
      <c r="AY17" s="188">
        <v>0.3</v>
      </c>
      <c r="AZ17" s="189">
        <f t="shared" si="2"/>
        <v>197.52999999999997</v>
      </c>
      <c r="BA17" s="190">
        <f t="shared" si="3"/>
        <v>198.86000000000004</v>
      </c>
    </row>
    <row r="18" spans="1:58" s="288" customFormat="1" ht="18.75" thickBot="1">
      <c r="A18" s="280" t="s">
        <v>20</v>
      </c>
      <c r="B18" s="283">
        <f t="shared" ref="B18:AG18" si="4">SUM(B5:B17)</f>
        <v>792</v>
      </c>
      <c r="C18" s="284">
        <f t="shared" si="4"/>
        <v>980.32999999999993</v>
      </c>
      <c r="D18" s="281">
        <f t="shared" si="4"/>
        <v>21.78</v>
      </c>
      <c r="E18" s="284">
        <f t="shared" si="4"/>
        <v>7.3589999999999991</v>
      </c>
      <c r="F18" s="281">
        <f t="shared" si="4"/>
        <v>65.900000000000006</v>
      </c>
      <c r="G18" s="284">
        <f t="shared" si="4"/>
        <v>71.460000000000008</v>
      </c>
      <c r="H18" s="281">
        <f t="shared" si="4"/>
        <v>886</v>
      </c>
      <c r="I18" s="284">
        <f t="shared" si="4"/>
        <v>1416.09</v>
      </c>
      <c r="J18" s="281">
        <f t="shared" si="4"/>
        <v>268.71000000000004</v>
      </c>
      <c r="K18" s="284">
        <f t="shared" si="4"/>
        <v>304.72999999999996</v>
      </c>
      <c r="L18" s="281">
        <f t="shared" si="4"/>
        <v>504.16999999999996</v>
      </c>
      <c r="M18" s="284">
        <f t="shared" si="4"/>
        <v>638.21999999999991</v>
      </c>
      <c r="N18" s="283">
        <f t="shared" si="4"/>
        <v>57.92</v>
      </c>
      <c r="O18" s="284">
        <f t="shared" si="4"/>
        <v>59.43</v>
      </c>
      <c r="P18" s="281">
        <f t="shared" si="4"/>
        <v>153.09000000000003</v>
      </c>
      <c r="Q18" s="284">
        <f t="shared" si="4"/>
        <v>165.81</v>
      </c>
      <c r="R18" s="281">
        <f t="shared" si="4"/>
        <v>238.62</v>
      </c>
      <c r="S18" s="284">
        <f t="shared" si="4"/>
        <v>348.79999999999995</v>
      </c>
      <c r="T18" s="281">
        <f t="shared" si="4"/>
        <v>116.37</v>
      </c>
      <c r="U18" s="284">
        <f t="shared" si="4"/>
        <v>102.96000000000001</v>
      </c>
      <c r="V18" s="281">
        <f t="shared" si="4"/>
        <v>4201.4399999999996</v>
      </c>
      <c r="W18" s="284">
        <f t="shared" si="4"/>
        <v>5003.4000000000005</v>
      </c>
      <c r="X18" s="281">
        <f t="shared" si="4"/>
        <v>2661</v>
      </c>
      <c r="Y18" s="282">
        <f t="shared" si="4"/>
        <v>3956.47</v>
      </c>
      <c r="Z18" s="283">
        <f t="shared" si="4"/>
        <v>193.75</v>
      </c>
      <c r="AA18" s="282">
        <f t="shared" si="4"/>
        <v>250.16899999999998</v>
      </c>
      <c r="AB18" s="283">
        <f t="shared" si="4"/>
        <v>287.76</v>
      </c>
      <c r="AC18" s="282">
        <f t="shared" si="4"/>
        <v>523.29</v>
      </c>
      <c r="AD18" s="283">
        <f t="shared" si="4"/>
        <v>947.53999999999985</v>
      </c>
      <c r="AE18" s="284">
        <f t="shared" si="4"/>
        <v>1069.2149999999999</v>
      </c>
      <c r="AF18" s="283">
        <f t="shared" si="4"/>
        <v>2337.17</v>
      </c>
      <c r="AG18" s="284">
        <f t="shared" si="4"/>
        <v>2765.72</v>
      </c>
      <c r="AH18" s="283">
        <f t="shared" ref="AH18:AU18" si="5">SUM(AH5:AH17)</f>
        <v>537.13</v>
      </c>
      <c r="AI18" s="284">
        <f t="shared" si="5"/>
        <v>633.4799999999999</v>
      </c>
      <c r="AJ18" s="281">
        <f t="shared" si="5"/>
        <v>370.32000000000005</v>
      </c>
      <c r="AK18" s="282">
        <f t="shared" si="5"/>
        <v>388.66</v>
      </c>
      <c r="AL18" s="283">
        <f t="shared" si="5"/>
        <v>0</v>
      </c>
      <c r="AM18" s="282">
        <f t="shared" si="5"/>
        <v>0</v>
      </c>
      <c r="AN18" s="283">
        <f t="shared" si="5"/>
        <v>4207</v>
      </c>
      <c r="AO18" s="282">
        <f t="shared" si="5"/>
        <v>6475.0300000000007</v>
      </c>
      <c r="AP18" s="283">
        <f t="shared" si="5"/>
        <v>201.13</v>
      </c>
      <c r="AQ18" s="282">
        <f t="shared" si="5"/>
        <v>234.06000000000003</v>
      </c>
      <c r="AR18" s="283">
        <f t="shared" si="5"/>
        <v>279.02320000000003</v>
      </c>
      <c r="AS18" s="282">
        <f t="shared" si="5"/>
        <v>454.471</v>
      </c>
      <c r="AT18" s="283">
        <f t="shared" si="5"/>
        <v>1567.1499999999999</v>
      </c>
      <c r="AU18" s="282">
        <f t="shared" si="5"/>
        <v>1791.4699999999998</v>
      </c>
      <c r="AV18" s="286">
        <f t="shared" si="0"/>
        <v>20894.9732</v>
      </c>
      <c r="AW18" s="808">
        <f t="shared" si="1"/>
        <v>27640.624000000003</v>
      </c>
      <c r="AX18" s="285">
        <f>SUM(AX5:AX17)</f>
        <v>25905.74</v>
      </c>
      <c r="AY18" s="805">
        <f>SUM(AY5:AY17)</f>
        <v>21905.820000000003</v>
      </c>
      <c r="AZ18" s="286">
        <f t="shared" si="2"/>
        <v>46800.713199999998</v>
      </c>
      <c r="BA18" s="287">
        <f t="shared" si="3"/>
        <v>49546.444000000003</v>
      </c>
      <c r="BB18" s="580"/>
      <c r="BC18" s="580"/>
      <c r="BD18" s="580"/>
      <c r="BE18" s="580"/>
      <c r="BF18" s="580"/>
    </row>
    <row r="19" spans="1:58" ht="18" thickBot="1">
      <c r="A19" s="205" t="s">
        <v>11</v>
      </c>
      <c r="B19" s="794"/>
      <c r="C19" s="795"/>
      <c r="D19" s="195"/>
      <c r="E19" s="194"/>
      <c r="F19" s="195">
        <v>0.03</v>
      </c>
      <c r="G19" s="796">
        <v>0.04</v>
      </c>
      <c r="H19" s="195"/>
      <c r="I19" s="194"/>
      <c r="J19" s="195"/>
      <c r="K19" s="194"/>
      <c r="L19" s="195"/>
      <c r="M19" s="194"/>
      <c r="N19" s="191"/>
      <c r="O19" s="796"/>
      <c r="P19" s="800"/>
      <c r="Q19" s="207"/>
      <c r="R19" s="801">
        <v>3.95</v>
      </c>
      <c r="S19" s="802">
        <v>3.73</v>
      </c>
      <c r="T19" s="801"/>
      <c r="U19" s="209"/>
      <c r="V19" s="801"/>
      <c r="W19" s="209"/>
      <c r="X19" s="208"/>
      <c r="Y19" s="435"/>
      <c r="Z19" s="206"/>
      <c r="AA19" s="435"/>
      <c r="AB19" s="191"/>
      <c r="AC19" s="193"/>
      <c r="AD19" s="191">
        <v>0.42</v>
      </c>
      <c r="AE19" s="796">
        <v>0.09</v>
      </c>
      <c r="AF19" s="191"/>
      <c r="AG19" s="194"/>
      <c r="AH19" s="191"/>
      <c r="AI19" s="796"/>
      <c r="AJ19" s="192"/>
      <c r="AK19" s="193"/>
      <c r="AL19" s="191"/>
      <c r="AM19" s="193"/>
      <c r="AN19" s="255"/>
      <c r="AO19" s="440"/>
      <c r="AP19" s="196"/>
      <c r="AQ19" s="589"/>
      <c r="AR19" s="197"/>
      <c r="AS19" s="443"/>
      <c r="AT19" s="191"/>
      <c r="AU19" s="193"/>
      <c r="AV19" s="198">
        <f t="shared" si="0"/>
        <v>4.4000000000000004</v>
      </c>
      <c r="AW19" s="809">
        <f t="shared" si="1"/>
        <v>3.86</v>
      </c>
      <c r="AX19" s="197"/>
      <c r="AY19" s="443"/>
      <c r="AZ19" s="198">
        <f t="shared" si="2"/>
        <v>4.4000000000000004</v>
      </c>
      <c r="BA19" s="199">
        <f t="shared" si="3"/>
        <v>3.86</v>
      </c>
    </row>
    <row r="20" spans="1:58" s="288" customFormat="1" ht="18.75" thickBot="1">
      <c r="A20" s="289" t="s">
        <v>12</v>
      </c>
      <c r="B20" s="292">
        <f t="shared" ref="B20:AG20" si="6">B18+B19</f>
        <v>792</v>
      </c>
      <c r="C20" s="293">
        <f t="shared" si="6"/>
        <v>980.32999999999993</v>
      </c>
      <c r="D20" s="290">
        <f t="shared" si="6"/>
        <v>21.78</v>
      </c>
      <c r="E20" s="293">
        <f t="shared" si="6"/>
        <v>7.3589999999999991</v>
      </c>
      <c r="F20" s="290">
        <f t="shared" si="6"/>
        <v>65.930000000000007</v>
      </c>
      <c r="G20" s="293">
        <f t="shared" si="6"/>
        <v>71.500000000000014</v>
      </c>
      <c r="H20" s="290">
        <f t="shared" si="6"/>
        <v>886</v>
      </c>
      <c r="I20" s="293">
        <f t="shared" si="6"/>
        <v>1416.09</v>
      </c>
      <c r="J20" s="290">
        <f t="shared" si="6"/>
        <v>268.71000000000004</v>
      </c>
      <c r="K20" s="293">
        <f t="shared" si="6"/>
        <v>304.72999999999996</v>
      </c>
      <c r="L20" s="290">
        <f t="shared" si="6"/>
        <v>504.16999999999996</v>
      </c>
      <c r="M20" s="293">
        <f t="shared" si="6"/>
        <v>638.21999999999991</v>
      </c>
      <c r="N20" s="292">
        <f t="shared" si="6"/>
        <v>57.92</v>
      </c>
      <c r="O20" s="293">
        <f t="shared" si="6"/>
        <v>59.43</v>
      </c>
      <c r="P20" s="290">
        <f t="shared" si="6"/>
        <v>153.09000000000003</v>
      </c>
      <c r="Q20" s="293">
        <f t="shared" si="6"/>
        <v>165.81</v>
      </c>
      <c r="R20" s="290">
        <f t="shared" si="6"/>
        <v>242.57</v>
      </c>
      <c r="S20" s="293">
        <f t="shared" si="6"/>
        <v>352.53</v>
      </c>
      <c r="T20" s="290">
        <f t="shared" si="6"/>
        <v>116.37</v>
      </c>
      <c r="U20" s="293">
        <f t="shared" si="6"/>
        <v>102.96000000000001</v>
      </c>
      <c r="V20" s="290">
        <f t="shared" si="6"/>
        <v>4201.4399999999996</v>
      </c>
      <c r="W20" s="293">
        <f t="shared" si="6"/>
        <v>5003.4000000000005</v>
      </c>
      <c r="X20" s="290">
        <f t="shared" si="6"/>
        <v>2661</v>
      </c>
      <c r="Y20" s="291">
        <f t="shared" si="6"/>
        <v>3956.47</v>
      </c>
      <c r="Z20" s="292">
        <f t="shared" si="6"/>
        <v>193.75</v>
      </c>
      <c r="AA20" s="291">
        <f t="shared" si="6"/>
        <v>250.16899999999998</v>
      </c>
      <c r="AB20" s="292">
        <f t="shared" si="6"/>
        <v>287.76</v>
      </c>
      <c r="AC20" s="291">
        <f t="shared" si="6"/>
        <v>523.29</v>
      </c>
      <c r="AD20" s="292">
        <f t="shared" si="6"/>
        <v>947.95999999999981</v>
      </c>
      <c r="AE20" s="293">
        <f t="shared" si="6"/>
        <v>1069.3049999999998</v>
      </c>
      <c r="AF20" s="292">
        <f t="shared" si="6"/>
        <v>2337.17</v>
      </c>
      <c r="AG20" s="293">
        <f t="shared" si="6"/>
        <v>2765.72</v>
      </c>
      <c r="AH20" s="292">
        <f t="shared" ref="AH20:AU20" si="7">AH18+AH19</f>
        <v>537.13</v>
      </c>
      <c r="AI20" s="293">
        <f t="shared" si="7"/>
        <v>633.4799999999999</v>
      </c>
      <c r="AJ20" s="290">
        <f t="shared" si="7"/>
        <v>370.32000000000005</v>
      </c>
      <c r="AK20" s="291">
        <f t="shared" si="7"/>
        <v>388.66</v>
      </c>
      <c r="AL20" s="292">
        <f t="shared" si="7"/>
        <v>0</v>
      </c>
      <c r="AM20" s="291">
        <f t="shared" si="7"/>
        <v>0</v>
      </c>
      <c r="AN20" s="292">
        <f t="shared" si="7"/>
        <v>4207</v>
      </c>
      <c r="AO20" s="291">
        <f t="shared" si="7"/>
        <v>6475.0300000000007</v>
      </c>
      <c r="AP20" s="292">
        <f t="shared" si="7"/>
        <v>201.13</v>
      </c>
      <c r="AQ20" s="291">
        <f t="shared" si="7"/>
        <v>234.06000000000003</v>
      </c>
      <c r="AR20" s="292">
        <f t="shared" si="7"/>
        <v>279.02320000000003</v>
      </c>
      <c r="AS20" s="291">
        <f t="shared" si="7"/>
        <v>454.471</v>
      </c>
      <c r="AT20" s="292">
        <f t="shared" si="7"/>
        <v>1567.1499999999999</v>
      </c>
      <c r="AU20" s="291">
        <f t="shared" si="7"/>
        <v>1791.4699999999998</v>
      </c>
      <c r="AV20" s="294">
        <f t="shared" si="0"/>
        <v>20899.373200000002</v>
      </c>
      <c r="AW20" s="810">
        <f t="shared" si="1"/>
        <v>27644.484000000004</v>
      </c>
      <c r="AX20" s="294">
        <f>AX18+AX19</f>
        <v>25905.74</v>
      </c>
      <c r="AY20" s="806">
        <f>AY18+AY19</f>
        <v>21905.820000000003</v>
      </c>
      <c r="AZ20" s="294">
        <f t="shared" si="2"/>
        <v>46805.113200000007</v>
      </c>
      <c r="BA20" s="295">
        <f t="shared" si="3"/>
        <v>49550.304000000004</v>
      </c>
      <c r="BB20" s="580"/>
      <c r="BC20" s="580"/>
      <c r="BD20" s="580"/>
      <c r="BE20" s="580"/>
      <c r="BF20" s="580"/>
    </row>
    <row r="21" spans="1:58">
      <c r="AT21" s="55"/>
      <c r="AU21" s="55"/>
    </row>
  </sheetData>
  <mergeCells count="29">
    <mergeCell ref="A1:AZ1"/>
    <mergeCell ref="A2:AZ2"/>
    <mergeCell ref="A3:A4"/>
    <mergeCell ref="N3:O3"/>
    <mergeCell ref="B3:C3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Z3:BA3"/>
    <mergeCell ref="AN3:AO3"/>
    <mergeCell ref="AP3:AQ3"/>
    <mergeCell ref="AT3:AU3"/>
    <mergeCell ref="AR3:AS3"/>
    <mergeCell ref="AV3:AW3"/>
    <mergeCell ref="AX3:AY3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B22"/>
  <sheetViews>
    <sheetView workbookViewId="0">
      <pane xSplit="1" topLeftCell="AX1" activePane="topRight" state="frozen"/>
      <selection pane="topRight" sqref="A1:XFD1048576"/>
    </sheetView>
  </sheetViews>
  <sheetFormatPr defaultRowHeight="14.25"/>
  <cols>
    <col min="1" max="1" width="27.28515625" style="7" bestFit="1" customWidth="1"/>
    <col min="2" max="25" width="12.85546875" style="7" bestFit="1" customWidth="1"/>
    <col min="26" max="27" width="12.85546875" style="24" bestFit="1" customWidth="1"/>
    <col min="28" max="53" width="12.85546875" style="7" bestFit="1" customWidth="1"/>
    <col min="54" max="54" width="9.5703125" style="7" bestFit="1" customWidth="1"/>
    <col min="55" max="16384" width="9.140625" style="7"/>
  </cols>
  <sheetData>
    <row r="1" spans="1:54" ht="28.5" customHeight="1">
      <c r="A1" s="1185" t="s">
        <v>149</v>
      </c>
      <c r="B1" s="1185"/>
      <c r="C1" s="1185"/>
      <c r="D1" s="1185"/>
      <c r="E1" s="1185"/>
      <c r="F1" s="1185"/>
      <c r="G1" s="1185"/>
      <c r="H1" s="1185"/>
      <c r="I1" s="1185"/>
      <c r="J1" s="1185"/>
      <c r="K1" s="1185"/>
      <c r="L1" s="1185"/>
      <c r="M1" s="1185"/>
      <c r="N1" s="1185"/>
      <c r="O1" s="1185"/>
      <c r="P1" s="1185"/>
      <c r="Q1" s="1185"/>
      <c r="R1" s="1185"/>
      <c r="S1" s="1185"/>
      <c r="T1" s="1185"/>
      <c r="U1" s="1185"/>
      <c r="V1" s="1185"/>
      <c r="W1" s="1185"/>
      <c r="X1" s="1185"/>
      <c r="Y1" s="1185"/>
      <c r="Z1" s="1185"/>
      <c r="AA1" s="1185"/>
      <c r="AB1" s="1185"/>
      <c r="AC1" s="1185"/>
      <c r="AD1" s="1185"/>
      <c r="AE1" s="1185"/>
      <c r="AF1" s="1185"/>
      <c r="AG1" s="1185"/>
      <c r="AH1" s="1185"/>
      <c r="AI1" s="1185"/>
      <c r="AJ1" s="1185"/>
      <c r="AK1" s="1185"/>
      <c r="AL1" s="1185"/>
      <c r="AM1" s="1185"/>
      <c r="AN1" s="1185"/>
      <c r="AO1" s="1185"/>
      <c r="AP1" s="1185"/>
      <c r="AQ1" s="1185"/>
      <c r="AR1" s="1185"/>
      <c r="AS1" s="1185"/>
      <c r="AT1" s="1185"/>
      <c r="AU1" s="1185"/>
      <c r="AV1" s="1185"/>
      <c r="AW1" s="1185"/>
      <c r="AX1" s="1185"/>
      <c r="AY1" s="1185"/>
      <c r="AZ1" s="1185"/>
      <c r="BA1" s="26"/>
    </row>
    <row r="2" spans="1:54" ht="15" thickBot="1">
      <c r="A2" s="1137"/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  <c r="AL2" s="1137"/>
      <c r="AM2" s="1137"/>
      <c r="AN2" s="1137"/>
      <c r="AO2" s="1137"/>
      <c r="AP2" s="1137"/>
      <c r="AQ2" s="1137"/>
      <c r="AR2" s="1137"/>
      <c r="AS2" s="1137"/>
      <c r="AT2" s="1137"/>
      <c r="AU2" s="1137"/>
      <c r="AV2" s="1137"/>
      <c r="AW2" s="1137"/>
      <c r="AX2" s="1137"/>
      <c r="AY2" s="1137"/>
      <c r="AZ2" s="1137"/>
      <c r="BA2" s="27"/>
    </row>
    <row r="3" spans="1:54" ht="26.25" customHeight="1" thickBot="1">
      <c r="A3" s="1186" t="s">
        <v>14</v>
      </c>
      <c r="B3" s="1168" t="s">
        <v>150</v>
      </c>
      <c r="C3" s="1169"/>
      <c r="D3" s="1170" t="s">
        <v>151</v>
      </c>
      <c r="E3" s="1170"/>
      <c r="F3" s="1168" t="s">
        <v>152</v>
      </c>
      <c r="G3" s="1169"/>
      <c r="H3" s="1170" t="s">
        <v>153</v>
      </c>
      <c r="I3" s="1170"/>
      <c r="J3" s="1168" t="s">
        <v>154</v>
      </c>
      <c r="K3" s="1169"/>
      <c r="L3" s="1168" t="s">
        <v>155</v>
      </c>
      <c r="M3" s="1169"/>
      <c r="N3" s="1170" t="s">
        <v>255</v>
      </c>
      <c r="O3" s="1170"/>
      <c r="P3" s="1168" t="s">
        <v>156</v>
      </c>
      <c r="Q3" s="1169"/>
      <c r="R3" s="1170" t="s">
        <v>157</v>
      </c>
      <c r="S3" s="1170"/>
      <c r="T3" s="1168" t="s">
        <v>158</v>
      </c>
      <c r="U3" s="1169"/>
      <c r="V3" s="1168" t="s">
        <v>159</v>
      </c>
      <c r="W3" s="1169"/>
      <c r="X3" s="1168" t="s">
        <v>160</v>
      </c>
      <c r="Y3" s="1169"/>
      <c r="Z3" s="1068" t="s">
        <v>365</v>
      </c>
      <c r="AA3" s="1068"/>
      <c r="AB3" s="1168" t="s">
        <v>161</v>
      </c>
      <c r="AC3" s="1169"/>
      <c r="AD3" s="1184" t="s">
        <v>162</v>
      </c>
      <c r="AE3" s="1184"/>
      <c r="AF3" s="1168" t="s">
        <v>163</v>
      </c>
      <c r="AG3" s="1169"/>
      <c r="AH3" s="1170" t="s">
        <v>164</v>
      </c>
      <c r="AI3" s="1169"/>
      <c r="AJ3" s="1170" t="s">
        <v>165</v>
      </c>
      <c r="AK3" s="1170"/>
      <c r="AL3" s="1171" t="s">
        <v>166</v>
      </c>
      <c r="AM3" s="1172"/>
      <c r="AN3" s="1170" t="s">
        <v>167</v>
      </c>
      <c r="AO3" s="1170"/>
      <c r="AP3" s="1168" t="s">
        <v>168</v>
      </c>
      <c r="AQ3" s="1169"/>
      <c r="AR3" s="1170" t="s">
        <v>169</v>
      </c>
      <c r="AS3" s="1170"/>
      <c r="AT3" s="1168" t="s">
        <v>170</v>
      </c>
      <c r="AU3" s="1169"/>
      <c r="AV3" s="1168" t="s">
        <v>1</v>
      </c>
      <c r="AW3" s="1169"/>
      <c r="AX3" s="1171" t="s">
        <v>171</v>
      </c>
      <c r="AY3" s="1172"/>
      <c r="AZ3" s="1171" t="s">
        <v>2</v>
      </c>
      <c r="BA3" s="1172"/>
    </row>
    <row r="4" spans="1:54" ht="15" thickBot="1">
      <c r="A4" s="1187"/>
      <c r="B4" s="345" t="s">
        <v>254</v>
      </c>
      <c r="C4" s="345" t="s">
        <v>358</v>
      </c>
      <c r="D4" s="345" t="s">
        <v>254</v>
      </c>
      <c r="E4" s="345" t="s">
        <v>358</v>
      </c>
      <c r="F4" s="345" t="s">
        <v>254</v>
      </c>
      <c r="G4" s="345" t="s">
        <v>358</v>
      </c>
      <c r="H4" s="345" t="s">
        <v>254</v>
      </c>
      <c r="I4" s="345" t="s">
        <v>358</v>
      </c>
      <c r="J4" s="345" t="s">
        <v>254</v>
      </c>
      <c r="K4" s="345" t="s">
        <v>358</v>
      </c>
      <c r="L4" s="345" t="s">
        <v>254</v>
      </c>
      <c r="M4" s="345" t="s">
        <v>358</v>
      </c>
      <c r="N4" s="345" t="s">
        <v>254</v>
      </c>
      <c r="O4" s="345" t="s">
        <v>358</v>
      </c>
      <c r="P4" s="345" t="s">
        <v>254</v>
      </c>
      <c r="Q4" s="345" t="s">
        <v>358</v>
      </c>
      <c r="R4" s="345" t="s">
        <v>254</v>
      </c>
      <c r="S4" s="345" t="s">
        <v>358</v>
      </c>
      <c r="T4" s="345" t="s">
        <v>254</v>
      </c>
      <c r="U4" s="345" t="s">
        <v>358</v>
      </c>
      <c r="V4" s="345" t="s">
        <v>254</v>
      </c>
      <c r="W4" s="345" t="s">
        <v>358</v>
      </c>
      <c r="X4" s="345" t="s">
        <v>254</v>
      </c>
      <c r="Y4" s="345" t="s">
        <v>358</v>
      </c>
      <c r="Z4" s="345" t="s">
        <v>254</v>
      </c>
      <c r="AA4" s="345" t="s">
        <v>358</v>
      </c>
      <c r="AB4" s="345" t="s">
        <v>254</v>
      </c>
      <c r="AC4" s="345" t="s">
        <v>358</v>
      </c>
      <c r="AD4" s="345" t="s">
        <v>254</v>
      </c>
      <c r="AE4" s="345" t="s">
        <v>358</v>
      </c>
      <c r="AF4" s="345" t="s">
        <v>254</v>
      </c>
      <c r="AG4" s="345" t="s">
        <v>358</v>
      </c>
      <c r="AH4" s="345" t="s">
        <v>254</v>
      </c>
      <c r="AI4" s="345" t="s">
        <v>358</v>
      </c>
      <c r="AJ4" s="345" t="s">
        <v>254</v>
      </c>
      <c r="AK4" s="345" t="s">
        <v>358</v>
      </c>
      <c r="AL4" s="345" t="s">
        <v>254</v>
      </c>
      <c r="AM4" s="345" t="s">
        <v>358</v>
      </c>
      <c r="AN4" s="345" t="s">
        <v>254</v>
      </c>
      <c r="AO4" s="345" t="s">
        <v>358</v>
      </c>
      <c r="AP4" s="345" t="s">
        <v>254</v>
      </c>
      <c r="AQ4" s="345" t="s">
        <v>358</v>
      </c>
      <c r="AR4" s="345" t="s">
        <v>254</v>
      </c>
      <c r="AS4" s="345" t="s">
        <v>358</v>
      </c>
      <c r="AT4" s="345" t="s">
        <v>254</v>
      </c>
      <c r="AU4" s="345" t="s">
        <v>358</v>
      </c>
      <c r="AV4" s="345" t="s">
        <v>254</v>
      </c>
      <c r="AW4" s="345" t="s">
        <v>358</v>
      </c>
      <c r="AX4" s="345" t="s">
        <v>254</v>
      </c>
      <c r="AY4" s="345" t="s">
        <v>358</v>
      </c>
      <c r="AZ4" s="345" t="s">
        <v>254</v>
      </c>
      <c r="BA4" s="345" t="s">
        <v>358</v>
      </c>
    </row>
    <row r="5" spans="1:54" ht="15">
      <c r="A5" s="28" t="s">
        <v>3</v>
      </c>
      <c r="B5" s="29">
        <v>50977</v>
      </c>
      <c r="C5" s="818">
        <v>39829</v>
      </c>
      <c r="D5" s="30">
        <v>10</v>
      </c>
      <c r="E5" s="812">
        <v>-3</v>
      </c>
      <c r="F5" s="32">
        <v>3077</v>
      </c>
      <c r="G5" s="31">
        <v>1578</v>
      </c>
      <c r="H5" s="30">
        <v>60451</v>
      </c>
      <c r="I5" s="812">
        <v>58759</v>
      </c>
      <c r="J5" s="32">
        <v>22838</v>
      </c>
      <c r="K5" s="31">
        <v>23823</v>
      </c>
      <c r="L5" s="32">
        <v>544</v>
      </c>
      <c r="M5" s="31">
        <v>338</v>
      </c>
      <c r="N5" s="30">
        <v>4674</v>
      </c>
      <c r="O5" s="812">
        <v>4089</v>
      </c>
      <c r="P5" s="32">
        <v>18344</v>
      </c>
      <c r="Q5" s="31">
        <v>13256</v>
      </c>
      <c r="R5" s="30">
        <v>30817</v>
      </c>
      <c r="S5" s="812">
        <v>23727</v>
      </c>
      <c r="T5" s="32">
        <v>1563</v>
      </c>
      <c r="U5" s="31">
        <v>1335</v>
      </c>
      <c r="V5" s="32">
        <v>66707</v>
      </c>
      <c r="W5" s="31">
        <v>64732</v>
      </c>
      <c r="X5" s="32">
        <v>65085</v>
      </c>
      <c r="Y5" s="31">
        <v>74294</v>
      </c>
      <c r="Z5" s="825">
        <v>1815</v>
      </c>
      <c r="AA5" s="823">
        <v>2045</v>
      </c>
      <c r="AB5" s="32">
        <v>2170</v>
      </c>
      <c r="AC5" s="31">
        <v>4048</v>
      </c>
      <c r="AD5" s="30">
        <v>41283</v>
      </c>
      <c r="AE5" s="812">
        <v>29010</v>
      </c>
      <c r="AF5" s="32">
        <v>57636</v>
      </c>
      <c r="AG5" s="31">
        <v>48576</v>
      </c>
      <c r="AH5" s="30">
        <v>4287</v>
      </c>
      <c r="AI5" s="31">
        <v>3020</v>
      </c>
      <c r="AJ5" s="153">
        <v>30721</v>
      </c>
      <c r="AK5" s="828">
        <v>26894</v>
      </c>
      <c r="AL5" s="232"/>
      <c r="AM5" s="218"/>
      <c r="AN5" s="237">
        <v>217842</v>
      </c>
      <c r="AO5" s="835">
        <v>259548</v>
      </c>
      <c r="AP5" s="35">
        <v>1768</v>
      </c>
      <c r="AQ5" s="831">
        <v>2270</v>
      </c>
      <c r="AR5" s="36">
        <v>-2</v>
      </c>
      <c r="AS5" s="838"/>
      <c r="AT5" s="32">
        <v>58689</v>
      </c>
      <c r="AU5" s="31">
        <v>48761</v>
      </c>
      <c r="AV5" s="235">
        <f t="shared" ref="AV5:AV20" si="0">SUM(B5+D5+F5+H5+J5+L5+N5+P5+R5+T5+V5+X5+Z5+AB5+AD5+AF5+AH5+AJ5+AL5+AN5+AP5+AR5+AT5)</f>
        <v>741296</v>
      </c>
      <c r="AW5" s="814">
        <f t="shared" ref="AW5:AW20" si="1">SUM(C5+E5+G5+I5+K5+M5+O5+Q5+S5+U5+W5+Y5+AA5+AC5+AE5+AG5+AI5+AK5+AM5+AO5+AQ5+AS5+AU5)</f>
        <v>729929</v>
      </c>
      <c r="AX5" s="236">
        <v>5785726</v>
      </c>
      <c r="AY5" s="735">
        <v>7012193</v>
      </c>
      <c r="AZ5" s="235">
        <f t="shared" ref="AZ5:AZ20" si="2">AV5+AX5</f>
        <v>6527022</v>
      </c>
      <c r="BA5" s="37">
        <f t="shared" ref="BA5:BA20" si="3">AW5+AY5</f>
        <v>7742122</v>
      </c>
      <c r="BB5" s="38"/>
    </row>
    <row r="6" spans="1:54" ht="15">
      <c r="A6" s="28" t="s">
        <v>4</v>
      </c>
      <c r="B6" s="39">
        <v>57818</v>
      </c>
      <c r="C6" s="818">
        <v>51783</v>
      </c>
      <c r="D6" s="14"/>
      <c r="E6" s="812"/>
      <c r="F6" s="12">
        <v>3490</v>
      </c>
      <c r="G6" s="31">
        <v>4337</v>
      </c>
      <c r="H6" s="14">
        <v>63206</v>
      </c>
      <c r="I6" s="812">
        <v>67141</v>
      </c>
      <c r="J6" s="12">
        <v>3248</v>
      </c>
      <c r="K6" s="31">
        <v>4188</v>
      </c>
      <c r="L6" s="12">
        <v>60902</v>
      </c>
      <c r="M6" s="15">
        <v>56921</v>
      </c>
      <c r="N6" s="14">
        <v>410</v>
      </c>
      <c r="O6" s="812">
        <v>16</v>
      </c>
      <c r="P6" s="12">
        <v>4937</v>
      </c>
      <c r="Q6" s="31">
        <v>4120</v>
      </c>
      <c r="R6" s="14">
        <v>3943</v>
      </c>
      <c r="S6" s="812">
        <v>4081</v>
      </c>
      <c r="T6" s="12">
        <v>6464</v>
      </c>
      <c r="U6" s="31">
        <v>2536</v>
      </c>
      <c r="V6" s="12">
        <v>212167</v>
      </c>
      <c r="W6" s="31">
        <v>187538</v>
      </c>
      <c r="X6" s="12">
        <v>131224</v>
      </c>
      <c r="Y6" s="31">
        <v>129492</v>
      </c>
      <c r="Z6" s="826">
        <v>12468</v>
      </c>
      <c r="AA6" s="823">
        <v>13367</v>
      </c>
      <c r="AB6" s="12">
        <v>46653</v>
      </c>
      <c r="AC6" s="31">
        <v>76704</v>
      </c>
      <c r="AD6" s="14">
        <v>46589</v>
      </c>
      <c r="AE6" s="812">
        <v>45445</v>
      </c>
      <c r="AF6" s="12">
        <v>153336</v>
      </c>
      <c r="AG6" s="31">
        <v>138497</v>
      </c>
      <c r="AH6" s="14">
        <v>63834</v>
      </c>
      <c r="AI6" s="31">
        <v>65100</v>
      </c>
      <c r="AJ6" s="153">
        <v>1749</v>
      </c>
      <c r="AK6" s="828">
        <v>1814</v>
      </c>
      <c r="AL6" s="1"/>
      <c r="AM6" s="3"/>
      <c r="AN6" s="10">
        <v>350145</v>
      </c>
      <c r="AO6" s="836">
        <v>450595</v>
      </c>
      <c r="AP6" s="16">
        <v>526</v>
      </c>
      <c r="AQ6" s="831">
        <v>564</v>
      </c>
      <c r="AR6" s="17">
        <v>32211</v>
      </c>
      <c r="AS6" s="838">
        <v>51923</v>
      </c>
      <c r="AT6" s="12">
        <v>95185</v>
      </c>
      <c r="AU6" s="31">
        <v>86782</v>
      </c>
      <c r="AV6" s="235">
        <f t="shared" si="0"/>
        <v>1350505</v>
      </c>
      <c r="AW6" s="814">
        <f t="shared" si="1"/>
        <v>1442944</v>
      </c>
      <c r="AX6" s="165">
        <v>73342</v>
      </c>
      <c r="AY6" s="735">
        <v>76594</v>
      </c>
      <c r="AZ6" s="235">
        <f t="shared" si="2"/>
        <v>1423847</v>
      </c>
      <c r="BA6" s="37">
        <f t="shared" si="3"/>
        <v>1519538</v>
      </c>
    </row>
    <row r="7" spans="1:54" ht="15">
      <c r="A7" s="28" t="s">
        <v>5</v>
      </c>
      <c r="B7" s="39">
        <v>127</v>
      </c>
      <c r="C7" s="818">
        <v>86</v>
      </c>
      <c r="D7" s="14">
        <v>191</v>
      </c>
      <c r="E7" s="812">
        <v>-8</v>
      </c>
      <c r="F7" s="12">
        <v>582</v>
      </c>
      <c r="G7" s="31">
        <v>387</v>
      </c>
      <c r="H7" s="14">
        <v>15628</v>
      </c>
      <c r="I7" s="812">
        <v>15790</v>
      </c>
      <c r="J7" s="12">
        <v>7882</v>
      </c>
      <c r="K7" s="31">
        <v>7664</v>
      </c>
      <c r="L7" s="12">
        <v>189</v>
      </c>
      <c r="M7" s="15">
        <v>74</v>
      </c>
      <c r="N7" s="14">
        <v>580</v>
      </c>
      <c r="O7" s="812">
        <v>1714</v>
      </c>
      <c r="P7" s="12">
        <v>2574</v>
      </c>
      <c r="Q7" s="31">
        <v>1947</v>
      </c>
      <c r="R7" s="14">
        <v>1295</v>
      </c>
      <c r="S7" s="812">
        <v>1164</v>
      </c>
      <c r="T7" s="12">
        <v>868</v>
      </c>
      <c r="U7" s="31">
        <v>729</v>
      </c>
      <c r="V7" s="12">
        <v>20182</v>
      </c>
      <c r="W7" s="31">
        <v>22086</v>
      </c>
      <c r="X7" s="12">
        <v>14973</v>
      </c>
      <c r="Y7" s="31">
        <v>12788</v>
      </c>
      <c r="Z7" s="826"/>
      <c r="AA7" s="823"/>
      <c r="AB7" s="12">
        <v>2242</v>
      </c>
      <c r="AC7" s="31">
        <v>1935</v>
      </c>
      <c r="AD7" s="14">
        <v>2215</v>
      </c>
      <c r="AE7" s="812">
        <v>483</v>
      </c>
      <c r="AF7" s="12">
        <v>2211</v>
      </c>
      <c r="AG7" s="31">
        <v>2550</v>
      </c>
      <c r="AH7" s="14">
        <v>651</v>
      </c>
      <c r="AI7" s="31">
        <v>2968</v>
      </c>
      <c r="AJ7" s="153">
        <v>4736</v>
      </c>
      <c r="AK7" s="828">
        <v>5827</v>
      </c>
      <c r="AL7" s="1"/>
      <c r="AM7" s="3"/>
      <c r="AN7" s="10">
        <v>24654</v>
      </c>
      <c r="AO7" s="836">
        <v>31515</v>
      </c>
      <c r="AP7" s="16">
        <v>44056</v>
      </c>
      <c r="AQ7" s="831">
        <v>62369</v>
      </c>
      <c r="AR7" s="17"/>
      <c r="AS7" s="838"/>
      <c r="AT7" s="12">
        <v>2663</v>
      </c>
      <c r="AU7" s="31">
        <v>1994</v>
      </c>
      <c r="AV7" s="235">
        <f t="shared" si="0"/>
        <v>148499</v>
      </c>
      <c r="AW7" s="814">
        <f t="shared" si="1"/>
        <v>174062</v>
      </c>
      <c r="AX7" s="165">
        <v>8816</v>
      </c>
      <c r="AY7" s="735">
        <v>10925</v>
      </c>
      <c r="AZ7" s="235">
        <f t="shared" si="2"/>
        <v>157315</v>
      </c>
      <c r="BA7" s="37">
        <f t="shared" si="3"/>
        <v>184987</v>
      </c>
    </row>
    <row r="8" spans="1:54" ht="15">
      <c r="A8" s="28" t="s">
        <v>6</v>
      </c>
      <c r="B8" s="39">
        <v>23</v>
      </c>
      <c r="C8" s="818">
        <v>498</v>
      </c>
      <c r="D8" s="14">
        <v>508</v>
      </c>
      <c r="E8" s="812">
        <v>960</v>
      </c>
      <c r="F8" s="12">
        <v>81</v>
      </c>
      <c r="G8" s="31">
        <v>62</v>
      </c>
      <c r="H8" s="14">
        <v>5212</v>
      </c>
      <c r="I8" s="812">
        <v>16404</v>
      </c>
      <c r="J8" s="12">
        <v>7714</v>
      </c>
      <c r="K8" s="31">
        <v>6591</v>
      </c>
      <c r="L8" s="12">
        <v>1324</v>
      </c>
      <c r="M8" s="15">
        <v>797</v>
      </c>
      <c r="N8" s="14">
        <v>-6</v>
      </c>
      <c r="O8" s="812">
        <v>-2</v>
      </c>
      <c r="P8" s="12">
        <v>1992</v>
      </c>
      <c r="Q8" s="31">
        <v>1271</v>
      </c>
      <c r="R8" s="14">
        <v>16120</v>
      </c>
      <c r="S8" s="812">
        <v>17073</v>
      </c>
      <c r="T8" s="12">
        <v>98</v>
      </c>
      <c r="U8" s="31">
        <v>258</v>
      </c>
      <c r="V8" s="12">
        <v>16138</v>
      </c>
      <c r="W8" s="31">
        <v>19030</v>
      </c>
      <c r="X8" s="12">
        <v>13101</v>
      </c>
      <c r="Y8" s="31">
        <v>17818</v>
      </c>
      <c r="Z8" s="826">
        <v>208</v>
      </c>
      <c r="AA8" s="823">
        <v>583</v>
      </c>
      <c r="AB8" s="12">
        <v>608</v>
      </c>
      <c r="AC8" s="31">
        <v>2277</v>
      </c>
      <c r="AD8" s="14">
        <v>2249</v>
      </c>
      <c r="AE8" s="812">
        <v>2625</v>
      </c>
      <c r="AF8" s="12">
        <v>1107</v>
      </c>
      <c r="AG8" s="31">
        <v>16739</v>
      </c>
      <c r="AH8" s="14">
        <v>4056</v>
      </c>
      <c r="AI8" s="31">
        <v>2037</v>
      </c>
      <c r="AJ8" s="153">
        <v>3225</v>
      </c>
      <c r="AK8" s="828">
        <v>2329</v>
      </c>
      <c r="AL8" s="1"/>
      <c r="AM8" s="3"/>
      <c r="AN8" s="238">
        <v>64</v>
      </c>
      <c r="AO8" s="836">
        <v>347</v>
      </c>
      <c r="AP8" s="16">
        <v>12907</v>
      </c>
      <c r="AQ8" s="831">
        <v>10384</v>
      </c>
      <c r="AR8" s="17">
        <v>-1</v>
      </c>
      <c r="AS8" s="838">
        <v>-2</v>
      </c>
      <c r="AT8" s="12">
        <v>13744</v>
      </c>
      <c r="AU8" s="31">
        <v>31912</v>
      </c>
      <c r="AV8" s="235">
        <f t="shared" si="0"/>
        <v>100472</v>
      </c>
      <c r="AW8" s="814">
        <f t="shared" si="1"/>
        <v>149991</v>
      </c>
      <c r="AX8" s="165">
        <v>512</v>
      </c>
      <c r="AY8" s="735">
        <v>448</v>
      </c>
      <c r="AZ8" s="235">
        <f t="shared" si="2"/>
        <v>100984</v>
      </c>
      <c r="BA8" s="37">
        <f t="shared" si="3"/>
        <v>150439</v>
      </c>
    </row>
    <row r="9" spans="1:54" ht="15">
      <c r="A9" s="28" t="s">
        <v>7</v>
      </c>
      <c r="B9" s="39"/>
      <c r="C9" s="818"/>
      <c r="D9" s="14"/>
      <c r="E9" s="812"/>
      <c r="F9" s="12"/>
      <c r="G9" s="31"/>
      <c r="H9" s="14"/>
      <c r="I9" s="812"/>
      <c r="J9" s="12"/>
      <c r="K9" s="31"/>
      <c r="L9" s="12"/>
      <c r="M9" s="15"/>
      <c r="N9" s="14"/>
      <c r="O9" s="812"/>
      <c r="P9" s="12">
        <v>6</v>
      </c>
      <c r="Q9" s="31"/>
      <c r="R9" s="14"/>
      <c r="S9" s="812"/>
      <c r="T9" s="12"/>
      <c r="U9" s="31"/>
      <c r="V9" s="12"/>
      <c r="W9" s="31"/>
      <c r="X9" s="12"/>
      <c r="Y9" s="31"/>
      <c r="Z9" s="826"/>
      <c r="AA9" s="823"/>
      <c r="AB9" s="12"/>
      <c r="AC9" s="31"/>
      <c r="AD9" s="495">
        <v>538</v>
      </c>
      <c r="AE9" s="812">
        <v>1699</v>
      </c>
      <c r="AF9" s="12"/>
      <c r="AG9" s="31"/>
      <c r="AH9" s="14"/>
      <c r="AI9" s="31"/>
      <c r="AJ9" s="153"/>
      <c r="AK9" s="828"/>
      <c r="AL9" s="1"/>
      <c r="AM9" s="3"/>
      <c r="AN9" s="798"/>
      <c r="AO9" s="836"/>
      <c r="AP9" s="16"/>
      <c r="AQ9" s="831"/>
      <c r="AR9" s="17"/>
      <c r="AS9" s="838"/>
      <c r="AT9" s="12">
        <v>3994</v>
      </c>
      <c r="AU9" s="31">
        <v>7588</v>
      </c>
      <c r="AV9" s="235">
        <f t="shared" si="0"/>
        <v>4538</v>
      </c>
      <c r="AW9" s="814">
        <f t="shared" si="1"/>
        <v>9287</v>
      </c>
      <c r="AX9" s="12">
        <v>249312</v>
      </c>
      <c r="AY9" s="735">
        <v>237184</v>
      </c>
      <c r="AZ9" s="32">
        <f t="shared" si="2"/>
        <v>253850</v>
      </c>
      <c r="BA9" s="500">
        <f t="shared" si="3"/>
        <v>246471</v>
      </c>
    </row>
    <row r="10" spans="1:54" ht="15">
      <c r="A10" s="28" t="s">
        <v>15</v>
      </c>
      <c r="B10" s="39"/>
      <c r="C10" s="818"/>
      <c r="D10" s="14"/>
      <c r="E10" s="812"/>
      <c r="F10" s="12"/>
      <c r="G10" s="31"/>
      <c r="H10" s="14"/>
      <c r="I10" s="812"/>
      <c r="J10" s="12"/>
      <c r="K10" s="31"/>
      <c r="L10" s="12"/>
      <c r="M10" s="15"/>
      <c r="N10" s="14"/>
      <c r="O10" s="812"/>
      <c r="P10" s="12"/>
      <c r="Q10" s="31"/>
      <c r="R10" s="14"/>
      <c r="S10" s="812"/>
      <c r="T10" s="12"/>
      <c r="U10" s="31"/>
      <c r="V10" s="12"/>
      <c r="W10" s="31"/>
      <c r="X10" s="12"/>
      <c r="Y10" s="31"/>
      <c r="Z10" s="14"/>
      <c r="AA10" s="823"/>
      <c r="AB10" s="12">
        <v>11606</v>
      </c>
      <c r="AC10" s="31">
        <v>6679</v>
      </c>
      <c r="AD10" s="14"/>
      <c r="AE10" s="812">
        <v>252</v>
      </c>
      <c r="AF10" s="12"/>
      <c r="AG10" s="31"/>
      <c r="AH10" s="14"/>
      <c r="AI10" s="31"/>
      <c r="AJ10" s="153"/>
      <c r="AK10" s="828"/>
      <c r="AL10" s="1"/>
      <c r="AM10" s="3"/>
      <c r="AN10" s="798"/>
      <c r="AO10" s="836"/>
      <c r="AP10" s="16"/>
      <c r="AQ10" s="831"/>
      <c r="AR10" s="17"/>
      <c r="AS10" s="838"/>
      <c r="AT10" s="12"/>
      <c r="AU10" s="31"/>
      <c r="AV10" s="235">
        <f t="shared" si="0"/>
        <v>11606</v>
      </c>
      <c r="AW10" s="814">
        <f t="shared" si="1"/>
        <v>6931</v>
      </c>
      <c r="AX10" s="165"/>
      <c r="AY10" s="735"/>
      <c r="AZ10" s="235">
        <f t="shared" si="2"/>
        <v>11606</v>
      </c>
      <c r="BA10" s="37">
        <f t="shared" si="3"/>
        <v>6931</v>
      </c>
    </row>
    <row r="11" spans="1:54" ht="15">
      <c r="A11" s="1020" t="s">
        <v>364</v>
      </c>
      <c r="B11" s="39"/>
      <c r="C11" s="818"/>
      <c r="D11" s="14">
        <v>7999</v>
      </c>
      <c r="E11" s="812">
        <f>2044+493</f>
        <v>2537</v>
      </c>
      <c r="F11" s="12">
        <f>517+1837</f>
        <v>2354</v>
      </c>
      <c r="G11" s="31"/>
      <c r="H11" s="14">
        <v>13740</v>
      </c>
      <c r="I11" s="812"/>
      <c r="J11" s="12">
        <v>6409</v>
      </c>
      <c r="K11" s="31"/>
      <c r="L11" s="12">
        <v>7248</v>
      </c>
      <c r="M11" s="15"/>
      <c r="N11" s="14">
        <v>7141</v>
      </c>
      <c r="O11" s="812"/>
      <c r="P11" s="12">
        <v>7299</v>
      </c>
      <c r="Q11" s="31"/>
      <c r="R11" s="14">
        <v>4104</v>
      </c>
      <c r="S11" s="812"/>
      <c r="T11" s="12">
        <v>14347</v>
      </c>
      <c r="U11" s="31"/>
      <c r="V11" s="12">
        <v>123055</v>
      </c>
      <c r="W11" s="31"/>
      <c r="X11" s="12">
        <v>30299</v>
      </c>
      <c r="Y11" s="31"/>
      <c r="Z11" s="14">
        <v>1195</v>
      </c>
      <c r="AA11" s="823"/>
      <c r="AB11" s="12">
        <v>9882</v>
      </c>
      <c r="AC11" s="31">
        <v>10280</v>
      </c>
      <c r="AD11" s="14">
        <v>45083</v>
      </c>
      <c r="AE11" s="812"/>
      <c r="AF11" s="12">
        <f>18950+18395</f>
        <v>37345</v>
      </c>
      <c r="AG11" s="31"/>
      <c r="AH11" s="14">
        <v>18141</v>
      </c>
      <c r="AI11" s="31"/>
      <c r="AJ11" s="153">
        <v>42942</v>
      </c>
      <c r="AK11" s="828"/>
      <c r="AL11" s="1"/>
      <c r="AM11" s="3"/>
      <c r="AN11" s="10">
        <v>5909</v>
      </c>
      <c r="AO11" s="836"/>
      <c r="AP11" s="16">
        <v>39522</v>
      </c>
      <c r="AQ11" s="831"/>
      <c r="AR11" s="17">
        <v>1003</v>
      </c>
      <c r="AS11" s="838"/>
      <c r="AT11" s="12"/>
      <c r="AU11" s="31"/>
      <c r="AV11" s="235">
        <f t="shared" si="0"/>
        <v>425017</v>
      </c>
      <c r="AW11" s="814">
        <f t="shared" si="1"/>
        <v>12817</v>
      </c>
      <c r="AX11" s="165"/>
      <c r="AY11" s="735"/>
      <c r="AZ11" s="235">
        <f t="shared" si="2"/>
        <v>425017</v>
      </c>
      <c r="BA11" s="37">
        <f t="shared" si="3"/>
        <v>12817</v>
      </c>
    </row>
    <row r="12" spans="1:54" ht="15">
      <c r="A12" s="1019" t="s">
        <v>363</v>
      </c>
      <c r="B12" s="39">
        <v>283</v>
      </c>
      <c r="C12" s="818">
        <v>539</v>
      </c>
      <c r="D12" s="14"/>
      <c r="E12" s="812"/>
      <c r="F12" s="12"/>
      <c r="G12" s="31">
        <v>54</v>
      </c>
      <c r="H12" s="14"/>
      <c r="I12" s="812">
        <v>1550</v>
      </c>
      <c r="J12" s="12"/>
      <c r="K12" s="31">
        <v>3052</v>
      </c>
      <c r="L12" s="12"/>
      <c r="M12" s="15">
        <v>1710</v>
      </c>
      <c r="N12" s="14"/>
      <c r="O12" s="812"/>
      <c r="P12" s="12"/>
      <c r="Q12" s="31">
        <v>891</v>
      </c>
      <c r="R12" s="14"/>
      <c r="S12" s="812"/>
      <c r="T12" s="12"/>
      <c r="U12" s="31">
        <v>44</v>
      </c>
      <c r="V12" s="12"/>
      <c r="W12" s="31">
        <v>75534</v>
      </c>
      <c r="X12" s="12"/>
      <c r="Y12" s="31">
        <v>12798</v>
      </c>
      <c r="Z12" s="14"/>
      <c r="AA12" s="823">
        <v>8</v>
      </c>
      <c r="AB12" s="12"/>
      <c r="AC12" s="31"/>
      <c r="AD12" s="14"/>
      <c r="AE12" s="812">
        <v>939</v>
      </c>
      <c r="AF12" s="12"/>
      <c r="AG12" s="31">
        <v>17279</v>
      </c>
      <c r="AH12" s="14"/>
      <c r="AI12" s="31">
        <v>680</v>
      </c>
      <c r="AJ12" s="153"/>
      <c r="AK12" s="828">
        <v>13</v>
      </c>
      <c r="AL12" s="1"/>
      <c r="AM12" s="3"/>
      <c r="AN12" s="10"/>
      <c r="AO12" s="836">
        <v>20501</v>
      </c>
      <c r="AP12" s="16"/>
      <c r="AQ12" s="831">
        <v>1868</v>
      </c>
      <c r="AR12" s="17"/>
      <c r="AS12" s="838"/>
      <c r="AT12" s="12"/>
      <c r="AU12" s="31">
        <v>2601</v>
      </c>
      <c r="AV12" s="235"/>
      <c r="AW12" s="814"/>
      <c r="AX12" s="165">
        <v>9209</v>
      </c>
      <c r="AY12" s="735">
        <v>6144</v>
      </c>
      <c r="AZ12" s="235"/>
      <c r="BA12" s="37"/>
    </row>
    <row r="13" spans="1:54" ht="15">
      <c r="A13" s="1019" t="s">
        <v>74</v>
      </c>
      <c r="B13" s="39">
        <v>3279</v>
      </c>
      <c r="C13" s="818">
        <v>3214</v>
      </c>
      <c r="D13" s="14"/>
      <c r="E13" s="812"/>
      <c r="F13" s="12"/>
      <c r="G13" s="31">
        <v>2174</v>
      </c>
      <c r="H13" s="14"/>
      <c r="I13" s="812">
        <v>19593</v>
      </c>
      <c r="J13" s="12"/>
      <c r="K13" s="31">
        <v>4898</v>
      </c>
      <c r="L13" s="12"/>
      <c r="M13" s="15">
        <v>1528</v>
      </c>
      <c r="N13" s="14"/>
      <c r="O13" s="812">
        <v>6367</v>
      </c>
      <c r="P13" s="12"/>
      <c r="Q13" s="31">
        <v>4117</v>
      </c>
      <c r="R13" s="14"/>
      <c r="S13" s="812">
        <v>4483</v>
      </c>
      <c r="T13" s="12"/>
      <c r="U13" s="31">
        <v>9053</v>
      </c>
      <c r="V13" s="12"/>
      <c r="W13" s="31">
        <v>39649</v>
      </c>
      <c r="X13" s="12"/>
      <c r="Y13" s="31">
        <v>33128</v>
      </c>
      <c r="Z13" s="14"/>
      <c r="AA13" s="823">
        <v>1590</v>
      </c>
      <c r="AB13" s="12"/>
      <c r="AC13" s="31"/>
      <c r="AD13" s="14"/>
      <c r="AE13" s="812">
        <v>33813</v>
      </c>
      <c r="AF13" s="12"/>
      <c r="AG13" s="31">
        <v>13916</v>
      </c>
      <c r="AH13" s="14"/>
      <c r="AI13" s="31">
        <v>21461</v>
      </c>
      <c r="AJ13" s="153"/>
      <c r="AK13" s="828">
        <v>36274</v>
      </c>
      <c r="AL13" s="1"/>
      <c r="AM13" s="3"/>
      <c r="AN13" s="10"/>
      <c r="AO13" s="836">
        <v>6357</v>
      </c>
      <c r="AP13" s="16"/>
      <c r="AQ13" s="831">
        <v>29784</v>
      </c>
      <c r="AR13" s="17"/>
      <c r="AS13" s="838">
        <v>198</v>
      </c>
      <c r="AT13" s="12">
        <v>10073</v>
      </c>
      <c r="AU13" s="31">
        <v>7129</v>
      </c>
      <c r="AV13" s="235"/>
      <c r="AW13" s="814"/>
      <c r="AX13" s="165">
        <v>21345</v>
      </c>
      <c r="AY13" s="735">
        <v>1229</v>
      </c>
      <c r="AZ13" s="235"/>
      <c r="BA13" s="37"/>
    </row>
    <row r="14" spans="1:54" ht="15">
      <c r="A14" s="28" t="s">
        <v>16</v>
      </c>
      <c r="B14" s="39">
        <v>1538</v>
      </c>
      <c r="C14" s="819">
        <v>238</v>
      </c>
      <c r="D14" s="14"/>
      <c r="E14" s="668"/>
      <c r="F14" s="12"/>
      <c r="G14" s="15"/>
      <c r="H14" s="14">
        <v>6163</v>
      </c>
      <c r="I14" s="812">
        <v>868</v>
      </c>
      <c r="J14" s="12"/>
      <c r="K14" s="15">
        <v>54</v>
      </c>
      <c r="L14" s="12"/>
      <c r="M14" s="15">
        <v>5231</v>
      </c>
      <c r="N14" s="14"/>
      <c r="O14" s="668"/>
      <c r="P14" s="12"/>
      <c r="Q14" s="15"/>
      <c r="R14" s="14">
        <v>5262</v>
      </c>
      <c r="S14" s="812">
        <v>3027</v>
      </c>
      <c r="T14" s="12"/>
      <c r="U14" s="15"/>
      <c r="V14" s="12"/>
      <c r="W14" s="31"/>
      <c r="X14" s="12"/>
      <c r="Y14" s="31"/>
      <c r="Z14" s="14"/>
      <c r="AA14" s="823">
        <v>70</v>
      </c>
      <c r="AB14" s="12"/>
      <c r="AC14" s="31"/>
      <c r="AD14" s="14">
        <v>7</v>
      </c>
      <c r="AE14" s="812">
        <v>561</v>
      </c>
      <c r="AF14" s="12"/>
      <c r="AG14" s="31"/>
      <c r="AH14" s="14"/>
      <c r="AI14" s="31"/>
      <c r="AJ14" s="153"/>
      <c r="AK14" s="828"/>
      <c r="AL14" s="1"/>
      <c r="AM14" s="3"/>
      <c r="AN14" s="10"/>
      <c r="AO14" s="836"/>
      <c r="AP14" s="16"/>
      <c r="AQ14" s="831"/>
      <c r="AR14" s="17"/>
      <c r="AS14" s="838"/>
      <c r="AT14" s="12"/>
      <c r="AU14" s="31"/>
      <c r="AV14" s="235">
        <f t="shared" si="0"/>
        <v>12970</v>
      </c>
      <c r="AW14" s="814">
        <f t="shared" si="1"/>
        <v>10049</v>
      </c>
      <c r="AX14" s="165"/>
      <c r="AY14" s="735">
        <v>920</v>
      </c>
      <c r="AZ14" s="235">
        <f t="shared" si="2"/>
        <v>12970</v>
      </c>
      <c r="BA14" s="37">
        <f t="shared" si="3"/>
        <v>10969</v>
      </c>
    </row>
    <row r="15" spans="1:54" ht="15">
      <c r="A15" s="28" t="s">
        <v>17</v>
      </c>
      <c r="B15" s="39"/>
      <c r="C15" s="819"/>
      <c r="D15" s="14">
        <v>3</v>
      </c>
      <c r="E15" s="668"/>
      <c r="F15" s="12">
        <v>76</v>
      </c>
      <c r="G15" s="15">
        <v>84</v>
      </c>
      <c r="H15" s="14"/>
      <c r="I15" s="812"/>
      <c r="J15" s="12"/>
      <c r="K15" s="15"/>
      <c r="L15" s="12"/>
      <c r="M15" s="15"/>
      <c r="N15" s="14"/>
      <c r="O15" s="668"/>
      <c r="P15" s="12"/>
      <c r="Q15" s="15"/>
      <c r="R15" s="14"/>
      <c r="S15" s="812"/>
      <c r="T15" s="12"/>
      <c r="U15" s="15">
        <v>129</v>
      </c>
      <c r="V15" s="12">
        <v>96</v>
      </c>
      <c r="W15" s="31">
        <v>112</v>
      </c>
      <c r="X15" s="12">
        <v>370</v>
      </c>
      <c r="Y15" s="31">
        <v>498</v>
      </c>
      <c r="Z15" s="14"/>
      <c r="AA15" s="823"/>
      <c r="AB15" s="12"/>
      <c r="AC15" s="31"/>
      <c r="AD15" s="14"/>
      <c r="AE15" s="812"/>
      <c r="AF15" s="12">
        <v>3296</v>
      </c>
      <c r="AG15" s="31">
        <v>4306</v>
      </c>
      <c r="AH15" s="14"/>
      <c r="AI15" s="31">
        <v>1711</v>
      </c>
      <c r="AJ15" s="153"/>
      <c r="AK15" s="828"/>
      <c r="AL15" s="1"/>
      <c r="AM15" s="3"/>
      <c r="AN15" s="10"/>
      <c r="AO15" s="836">
        <v>18</v>
      </c>
      <c r="AP15" s="16"/>
      <c r="AQ15" s="831"/>
      <c r="AR15" s="17"/>
      <c r="AS15" s="838"/>
      <c r="AT15" s="12"/>
      <c r="AU15" s="31"/>
      <c r="AV15" s="235">
        <f t="shared" si="0"/>
        <v>3841</v>
      </c>
      <c r="AW15" s="814">
        <f t="shared" si="1"/>
        <v>6858</v>
      </c>
      <c r="AX15" s="165">
        <v>2293</v>
      </c>
      <c r="AY15" s="735">
        <v>5624</v>
      </c>
      <c r="AZ15" s="235">
        <f t="shared" si="2"/>
        <v>6134</v>
      </c>
      <c r="BA15" s="37">
        <f t="shared" si="3"/>
        <v>12482</v>
      </c>
    </row>
    <row r="16" spans="1:54" ht="15">
      <c r="A16" s="28" t="s">
        <v>18</v>
      </c>
      <c r="B16" s="39"/>
      <c r="C16" s="819"/>
      <c r="D16" s="14"/>
      <c r="E16" s="668"/>
      <c r="F16" s="12"/>
      <c r="G16" s="15"/>
      <c r="H16" s="14">
        <v>2835</v>
      </c>
      <c r="I16" s="812"/>
      <c r="J16" s="12"/>
      <c r="K16" s="15"/>
      <c r="L16" s="12"/>
      <c r="M16" s="15"/>
      <c r="N16" s="14"/>
      <c r="O16" s="668"/>
      <c r="P16" s="12"/>
      <c r="Q16" s="15"/>
      <c r="R16" s="14"/>
      <c r="S16" s="668"/>
      <c r="T16" s="12"/>
      <c r="U16" s="15"/>
      <c r="V16" s="12"/>
      <c r="W16" s="31"/>
      <c r="X16" s="12">
        <v>13475</v>
      </c>
      <c r="Y16" s="31"/>
      <c r="Z16" s="14"/>
      <c r="AA16" s="823"/>
      <c r="AB16" s="12"/>
      <c r="AC16" s="31"/>
      <c r="AD16" s="14"/>
      <c r="AE16" s="812"/>
      <c r="AF16" s="12"/>
      <c r="AG16" s="31"/>
      <c r="AH16" s="14"/>
      <c r="AI16" s="31"/>
      <c r="AJ16" s="153"/>
      <c r="AK16" s="828"/>
      <c r="AL16" s="1"/>
      <c r="AM16" s="3"/>
      <c r="AN16" s="10"/>
      <c r="AO16" s="836"/>
      <c r="AP16" s="16"/>
      <c r="AQ16" s="831"/>
      <c r="AR16" s="17"/>
      <c r="AS16" s="838"/>
      <c r="AT16" s="12"/>
      <c r="AU16" s="31"/>
      <c r="AV16" s="235">
        <f t="shared" si="0"/>
        <v>16310</v>
      </c>
      <c r="AW16" s="814">
        <f t="shared" si="1"/>
        <v>0</v>
      </c>
      <c r="AX16" s="165"/>
      <c r="AY16" s="735"/>
      <c r="AZ16" s="235">
        <f t="shared" si="2"/>
        <v>16310</v>
      </c>
      <c r="BA16" s="37">
        <f t="shared" si="3"/>
        <v>0</v>
      </c>
    </row>
    <row r="17" spans="1:53" ht="15.75" thickBot="1">
      <c r="A17" s="28" t="s">
        <v>19</v>
      </c>
      <c r="B17" s="444">
        <v>70</v>
      </c>
      <c r="C17" s="820">
        <v>340</v>
      </c>
      <c r="D17" s="445"/>
      <c r="E17" s="816">
        <v>2154</v>
      </c>
      <c r="F17" s="447"/>
      <c r="G17" s="446"/>
      <c r="H17" s="445">
        <v>21452</v>
      </c>
      <c r="I17" s="816">
        <v>5974</v>
      </c>
      <c r="J17" s="447"/>
      <c r="K17" s="446">
        <v>33</v>
      </c>
      <c r="L17" s="447"/>
      <c r="M17" s="446">
        <v>883</v>
      </c>
      <c r="N17" s="445"/>
      <c r="O17" s="816"/>
      <c r="P17" s="447">
        <v>734</v>
      </c>
      <c r="Q17" s="446">
        <v>109</v>
      </c>
      <c r="R17" s="445"/>
      <c r="S17" s="816"/>
      <c r="T17" s="447"/>
      <c r="U17" s="446"/>
      <c r="V17" s="447">
        <v>5842</v>
      </c>
      <c r="W17" s="31">
        <v>411</v>
      </c>
      <c r="X17" s="447">
        <v>8189</v>
      </c>
      <c r="Y17" s="31">
        <v>5462</v>
      </c>
      <c r="Z17" s="445"/>
      <c r="AA17" s="823"/>
      <c r="AB17" s="447"/>
      <c r="AC17" s="31"/>
      <c r="AD17" s="445"/>
      <c r="AE17" s="812">
        <v>805</v>
      </c>
      <c r="AF17" s="447">
        <v>28260</v>
      </c>
      <c r="AG17" s="31">
        <v>16896</v>
      </c>
      <c r="AH17" s="445">
        <v>9212</v>
      </c>
      <c r="AI17" s="31">
        <v>7787</v>
      </c>
      <c r="AJ17" s="161">
        <v>148</v>
      </c>
      <c r="AK17" s="828"/>
      <c r="AL17" s="200"/>
      <c r="AM17" s="204"/>
      <c r="AN17" s="841"/>
      <c r="AO17" s="837">
        <v>649</v>
      </c>
      <c r="AP17" s="448">
        <v>77</v>
      </c>
      <c r="AQ17" s="831"/>
      <c r="AR17" s="449"/>
      <c r="AS17" s="838"/>
      <c r="AT17" s="447">
        <v>15143</v>
      </c>
      <c r="AU17" s="31">
        <v>14225</v>
      </c>
      <c r="AV17" s="235">
        <f t="shared" si="0"/>
        <v>89127</v>
      </c>
      <c r="AW17" s="814">
        <f t="shared" si="1"/>
        <v>55728</v>
      </c>
      <c r="AX17" s="450"/>
      <c r="AY17" s="735">
        <v>10149</v>
      </c>
      <c r="AZ17" s="736">
        <f t="shared" si="2"/>
        <v>89127</v>
      </c>
      <c r="BA17" s="451">
        <f t="shared" si="3"/>
        <v>65877</v>
      </c>
    </row>
    <row r="18" spans="1:53" s="269" customFormat="1" ht="15" thickBot="1">
      <c r="A18" s="817" t="s">
        <v>20</v>
      </c>
      <c r="B18" s="452">
        <f t="shared" ref="B18:AG18" si="4">SUM(B5:B17)</f>
        <v>114115</v>
      </c>
      <c r="C18" s="457">
        <f t="shared" si="4"/>
        <v>96527</v>
      </c>
      <c r="D18" s="456">
        <f t="shared" si="4"/>
        <v>8711</v>
      </c>
      <c r="E18" s="453">
        <f t="shared" si="4"/>
        <v>5640</v>
      </c>
      <c r="F18" s="452">
        <f t="shared" si="4"/>
        <v>9660</v>
      </c>
      <c r="G18" s="457">
        <f t="shared" si="4"/>
        <v>8676</v>
      </c>
      <c r="H18" s="456">
        <f t="shared" si="4"/>
        <v>188687</v>
      </c>
      <c r="I18" s="453">
        <f t="shared" si="4"/>
        <v>186079</v>
      </c>
      <c r="J18" s="452">
        <f t="shared" si="4"/>
        <v>48091</v>
      </c>
      <c r="K18" s="457">
        <f t="shared" si="4"/>
        <v>50303</v>
      </c>
      <c r="L18" s="452">
        <f t="shared" si="4"/>
        <v>70207</v>
      </c>
      <c r="M18" s="457">
        <f t="shared" si="4"/>
        <v>67482</v>
      </c>
      <c r="N18" s="456">
        <f t="shared" si="4"/>
        <v>12799</v>
      </c>
      <c r="O18" s="453">
        <f t="shared" si="4"/>
        <v>12184</v>
      </c>
      <c r="P18" s="452">
        <f t="shared" si="4"/>
        <v>35886</v>
      </c>
      <c r="Q18" s="457">
        <f t="shared" si="4"/>
        <v>25711</v>
      </c>
      <c r="R18" s="456">
        <f t="shared" si="4"/>
        <v>61541</v>
      </c>
      <c r="S18" s="453">
        <f t="shared" si="4"/>
        <v>53555</v>
      </c>
      <c r="T18" s="452">
        <f t="shared" si="4"/>
        <v>23340</v>
      </c>
      <c r="U18" s="457">
        <f t="shared" si="4"/>
        <v>14084</v>
      </c>
      <c r="V18" s="452">
        <f t="shared" si="4"/>
        <v>444187</v>
      </c>
      <c r="W18" s="457">
        <f t="shared" si="4"/>
        <v>409092</v>
      </c>
      <c r="X18" s="452">
        <f t="shared" si="4"/>
        <v>276716</v>
      </c>
      <c r="Y18" s="457">
        <f t="shared" si="4"/>
        <v>286278</v>
      </c>
      <c r="Z18" s="456">
        <f t="shared" si="4"/>
        <v>15686</v>
      </c>
      <c r="AA18" s="453">
        <f t="shared" si="4"/>
        <v>17663</v>
      </c>
      <c r="AB18" s="452">
        <f t="shared" si="4"/>
        <v>73161</v>
      </c>
      <c r="AC18" s="457">
        <f t="shared" si="4"/>
        <v>101923</v>
      </c>
      <c r="AD18" s="456">
        <f t="shared" si="4"/>
        <v>137964</v>
      </c>
      <c r="AE18" s="453">
        <f t="shared" si="4"/>
        <v>115632</v>
      </c>
      <c r="AF18" s="452">
        <f t="shared" si="4"/>
        <v>283191</v>
      </c>
      <c r="AG18" s="457">
        <f t="shared" si="4"/>
        <v>258759</v>
      </c>
      <c r="AH18" s="456">
        <f t="shared" ref="AH18:AU18" si="5">SUM(AH5:AH17)</f>
        <v>100181</v>
      </c>
      <c r="AI18" s="457">
        <f t="shared" si="5"/>
        <v>104764</v>
      </c>
      <c r="AJ18" s="456">
        <f t="shared" si="5"/>
        <v>83521</v>
      </c>
      <c r="AK18" s="453">
        <f t="shared" si="5"/>
        <v>73151</v>
      </c>
      <c r="AL18" s="452">
        <f t="shared" si="5"/>
        <v>0</v>
      </c>
      <c r="AM18" s="455">
        <f t="shared" si="5"/>
        <v>0</v>
      </c>
      <c r="AN18" s="833">
        <f t="shared" si="5"/>
        <v>598614</v>
      </c>
      <c r="AO18" s="834">
        <f t="shared" si="5"/>
        <v>769530</v>
      </c>
      <c r="AP18" s="452">
        <f t="shared" si="5"/>
        <v>98856</v>
      </c>
      <c r="AQ18" s="457">
        <f t="shared" si="5"/>
        <v>107239</v>
      </c>
      <c r="AR18" s="452">
        <f t="shared" si="5"/>
        <v>33211</v>
      </c>
      <c r="AS18" s="453">
        <f t="shared" si="5"/>
        <v>52119</v>
      </c>
      <c r="AT18" s="452">
        <f t="shared" si="5"/>
        <v>199491</v>
      </c>
      <c r="AU18" s="457">
        <f t="shared" si="5"/>
        <v>200992</v>
      </c>
      <c r="AV18" s="458">
        <f t="shared" si="0"/>
        <v>2917816</v>
      </c>
      <c r="AW18" s="459">
        <f t="shared" si="1"/>
        <v>3017383</v>
      </c>
      <c r="AX18" s="460">
        <f>SUM(AX5:AX17)</f>
        <v>6150555</v>
      </c>
      <c r="AY18" s="461">
        <f>SUM(AY5:AY17)</f>
        <v>7361410</v>
      </c>
      <c r="AZ18" s="458">
        <f t="shared" si="2"/>
        <v>9068371</v>
      </c>
      <c r="BA18" s="462">
        <f t="shared" si="3"/>
        <v>10378793</v>
      </c>
    </row>
    <row r="19" spans="1:53" s="516" customFormat="1" ht="15" thickBot="1">
      <c r="A19" s="501" t="s">
        <v>11</v>
      </c>
      <c r="B19" s="502"/>
      <c r="C19" s="821"/>
      <c r="D19" s="503"/>
      <c r="E19" s="813"/>
      <c r="F19" s="505"/>
      <c r="G19" s="504"/>
      <c r="H19" s="503"/>
      <c r="I19" s="813"/>
      <c r="J19" s="505"/>
      <c r="K19" s="504"/>
      <c r="L19" s="505"/>
      <c r="M19" s="504"/>
      <c r="N19" s="503"/>
      <c r="O19" s="822"/>
      <c r="P19" s="508"/>
      <c r="Q19" s="507"/>
      <c r="R19" s="506">
        <v>1703</v>
      </c>
      <c r="S19" s="840">
        <v>1260</v>
      </c>
      <c r="T19" s="508"/>
      <c r="U19" s="507"/>
      <c r="V19" s="508"/>
      <c r="W19" s="507"/>
      <c r="X19" s="508"/>
      <c r="Y19" s="507"/>
      <c r="Z19" s="506"/>
      <c r="AA19" s="824"/>
      <c r="AB19" s="505"/>
      <c r="AC19" s="504"/>
      <c r="AD19" s="503">
        <v>242</v>
      </c>
      <c r="AE19" s="822">
        <v>35</v>
      </c>
      <c r="AF19" s="505"/>
      <c r="AG19" s="504"/>
      <c r="AH19" s="503">
        <v>-1</v>
      </c>
      <c r="AI19" s="827"/>
      <c r="AJ19" s="503"/>
      <c r="AK19" s="813"/>
      <c r="AL19" s="829"/>
      <c r="AM19" s="509"/>
      <c r="AN19" s="510"/>
      <c r="AO19" s="830"/>
      <c r="AP19" s="832"/>
      <c r="AQ19" s="511"/>
      <c r="AR19" s="512"/>
      <c r="AS19" s="839"/>
      <c r="AT19" s="505"/>
      <c r="AU19" s="504"/>
      <c r="AV19" s="508">
        <f t="shared" si="0"/>
        <v>1944</v>
      </c>
      <c r="AW19" s="815">
        <f t="shared" si="1"/>
        <v>1295</v>
      </c>
      <c r="AX19" s="514"/>
      <c r="AY19" s="513"/>
      <c r="AZ19" s="508">
        <f t="shared" si="2"/>
        <v>1944</v>
      </c>
      <c r="BA19" s="515">
        <f t="shared" si="3"/>
        <v>1295</v>
      </c>
    </row>
    <row r="20" spans="1:53" s="269" customFormat="1" ht="15" thickBot="1">
      <c r="A20" s="817" t="s">
        <v>12</v>
      </c>
      <c r="B20" s="452">
        <f t="shared" ref="B20:AG20" si="6">B18+B19</f>
        <v>114115</v>
      </c>
      <c r="C20" s="457">
        <f t="shared" si="6"/>
        <v>96527</v>
      </c>
      <c r="D20" s="456">
        <f t="shared" si="6"/>
        <v>8711</v>
      </c>
      <c r="E20" s="453">
        <f t="shared" si="6"/>
        <v>5640</v>
      </c>
      <c r="F20" s="452">
        <f t="shared" si="6"/>
        <v>9660</v>
      </c>
      <c r="G20" s="457">
        <f t="shared" si="6"/>
        <v>8676</v>
      </c>
      <c r="H20" s="456">
        <f t="shared" si="6"/>
        <v>188687</v>
      </c>
      <c r="I20" s="453">
        <f t="shared" si="6"/>
        <v>186079</v>
      </c>
      <c r="J20" s="452">
        <f t="shared" si="6"/>
        <v>48091</v>
      </c>
      <c r="K20" s="457">
        <f t="shared" si="6"/>
        <v>50303</v>
      </c>
      <c r="L20" s="452">
        <f t="shared" si="6"/>
        <v>70207</v>
      </c>
      <c r="M20" s="457">
        <f t="shared" si="6"/>
        <v>67482</v>
      </c>
      <c r="N20" s="456">
        <f t="shared" si="6"/>
        <v>12799</v>
      </c>
      <c r="O20" s="453">
        <f t="shared" si="6"/>
        <v>12184</v>
      </c>
      <c r="P20" s="452">
        <f t="shared" si="6"/>
        <v>35886</v>
      </c>
      <c r="Q20" s="457">
        <f t="shared" si="6"/>
        <v>25711</v>
      </c>
      <c r="R20" s="456">
        <f t="shared" si="6"/>
        <v>63244</v>
      </c>
      <c r="S20" s="453">
        <f t="shared" si="6"/>
        <v>54815</v>
      </c>
      <c r="T20" s="452">
        <f t="shared" si="6"/>
        <v>23340</v>
      </c>
      <c r="U20" s="457">
        <f t="shared" si="6"/>
        <v>14084</v>
      </c>
      <c r="V20" s="452">
        <f t="shared" si="6"/>
        <v>444187</v>
      </c>
      <c r="W20" s="457">
        <f t="shared" si="6"/>
        <v>409092</v>
      </c>
      <c r="X20" s="452">
        <f t="shared" si="6"/>
        <v>276716</v>
      </c>
      <c r="Y20" s="457">
        <f t="shared" si="6"/>
        <v>286278</v>
      </c>
      <c r="Z20" s="456">
        <f t="shared" si="6"/>
        <v>15686</v>
      </c>
      <c r="AA20" s="453">
        <f t="shared" si="6"/>
        <v>17663</v>
      </c>
      <c r="AB20" s="452">
        <f t="shared" si="6"/>
        <v>73161</v>
      </c>
      <c r="AC20" s="457">
        <f t="shared" si="6"/>
        <v>101923</v>
      </c>
      <c r="AD20" s="456">
        <f t="shared" si="6"/>
        <v>138206</v>
      </c>
      <c r="AE20" s="453">
        <f t="shared" si="6"/>
        <v>115667</v>
      </c>
      <c r="AF20" s="452">
        <f t="shared" si="6"/>
        <v>283191</v>
      </c>
      <c r="AG20" s="457">
        <f t="shared" si="6"/>
        <v>258759</v>
      </c>
      <c r="AH20" s="456">
        <f t="shared" ref="AH20:AU20" si="7">AH18+AH19</f>
        <v>100180</v>
      </c>
      <c r="AI20" s="457">
        <f t="shared" si="7"/>
        <v>104764</v>
      </c>
      <c r="AJ20" s="456">
        <f t="shared" si="7"/>
        <v>83521</v>
      </c>
      <c r="AK20" s="453">
        <f t="shared" si="7"/>
        <v>73151</v>
      </c>
      <c r="AL20" s="452">
        <f t="shared" si="7"/>
        <v>0</v>
      </c>
      <c r="AM20" s="455">
        <f t="shared" si="7"/>
        <v>0</v>
      </c>
      <c r="AN20" s="456">
        <f t="shared" si="7"/>
        <v>598614</v>
      </c>
      <c r="AO20" s="519">
        <f t="shared" si="7"/>
        <v>769530</v>
      </c>
      <c r="AP20" s="452">
        <f t="shared" si="7"/>
        <v>98856</v>
      </c>
      <c r="AQ20" s="457">
        <f t="shared" si="7"/>
        <v>107239</v>
      </c>
      <c r="AR20" s="452">
        <f t="shared" si="7"/>
        <v>33211</v>
      </c>
      <c r="AS20" s="453">
        <f t="shared" si="7"/>
        <v>52119</v>
      </c>
      <c r="AT20" s="452">
        <f t="shared" si="7"/>
        <v>199491</v>
      </c>
      <c r="AU20" s="457">
        <f t="shared" si="7"/>
        <v>200992</v>
      </c>
      <c r="AV20" s="458">
        <f t="shared" si="0"/>
        <v>2919760</v>
      </c>
      <c r="AW20" s="459">
        <f t="shared" si="1"/>
        <v>3018678</v>
      </c>
      <c r="AX20" s="458">
        <f>AX18+AX19</f>
        <v>6150555</v>
      </c>
      <c r="AY20" s="462">
        <f>AY18+AY19</f>
        <v>7361410</v>
      </c>
      <c r="AZ20" s="458">
        <f t="shared" si="2"/>
        <v>9070315</v>
      </c>
      <c r="BA20" s="462">
        <f t="shared" si="3"/>
        <v>10380088</v>
      </c>
    </row>
    <row r="22" spans="1:53">
      <c r="AV22" s="24"/>
    </row>
  </sheetData>
  <mergeCells count="29">
    <mergeCell ref="A1:AZ1"/>
    <mergeCell ref="A2:AZ2"/>
    <mergeCell ref="A3:A4"/>
    <mergeCell ref="P3:Q3"/>
    <mergeCell ref="R3:S3"/>
    <mergeCell ref="T3:U3"/>
    <mergeCell ref="V3:W3"/>
    <mergeCell ref="X3:Y3"/>
    <mergeCell ref="Z3:AA3"/>
    <mergeCell ref="B3:C3"/>
    <mergeCell ref="H3:I3"/>
    <mergeCell ref="J3:K3"/>
    <mergeCell ref="L3:M3"/>
    <mergeCell ref="N3:O3"/>
    <mergeCell ref="AX3:AY3"/>
    <mergeCell ref="AZ3:BA3"/>
    <mergeCell ref="AV3:AW3"/>
    <mergeCell ref="F3:G3"/>
    <mergeCell ref="D3:E3"/>
    <mergeCell ref="AT3:AU3"/>
    <mergeCell ref="AR3:AS3"/>
    <mergeCell ref="AB3:AC3"/>
    <mergeCell ref="AD3:AE3"/>
    <mergeCell ref="AF3:AG3"/>
    <mergeCell ref="AH3:AI3"/>
    <mergeCell ref="AJ3:AK3"/>
    <mergeCell ref="AL3:AM3"/>
    <mergeCell ref="AN3:AO3"/>
    <mergeCell ref="AP3:AQ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45"/>
  <sheetViews>
    <sheetView workbookViewId="0">
      <pane xSplit="1" topLeftCell="AS1" activePane="topRight" state="frozen"/>
      <selection pane="topRight" activeCell="AW5" sqref="AW5"/>
    </sheetView>
  </sheetViews>
  <sheetFormatPr defaultRowHeight="14.25"/>
  <cols>
    <col min="1" max="1" width="21" style="24" customWidth="1"/>
    <col min="2" max="39" width="12.85546875" style="24" bestFit="1" customWidth="1"/>
    <col min="40" max="41" width="12.85546875" style="168" bestFit="1" customWidth="1"/>
    <col min="42" max="53" width="12.85546875" style="24" bestFit="1" customWidth="1"/>
    <col min="54" max="16384" width="9.140625" style="24"/>
  </cols>
  <sheetData>
    <row r="1" spans="1:53">
      <c r="A1" s="1077" t="s">
        <v>144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1077"/>
      <c r="T1" s="1077"/>
      <c r="U1" s="1077"/>
      <c r="V1" s="1077"/>
      <c r="W1" s="1077"/>
      <c r="X1" s="1077"/>
      <c r="Y1" s="1077"/>
      <c r="Z1" s="1077"/>
      <c r="AA1" s="1077"/>
      <c r="AB1" s="1077"/>
      <c r="AC1" s="1077"/>
      <c r="AD1" s="1077"/>
      <c r="AE1" s="1077"/>
      <c r="AF1" s="1077"/>
      <c r="AG1" s="1077"/>
      <c r="AH1" s="1077"/>
      <c r="AI1" s="1077"/>
      <c r="AJ1" s="1077"/>
      <c r="AK1" s="1077"/>
      <c r="AL1" s="1077"/>
      <c r="AM1" s="1077"/>
      <c r="AN1" s="1077"/>
      <c r="AO1" s="1077"/>
      <c r="AP1" s="1077"/>
      <c r="AQ1" s="1077"/>
      <c r="AR1" s="1077"/>
      <c r="AS1" s="1077"/>
      <c r="AT1" s="1077"/>
      <c r="AU1" s="1077"/>
      <c r="AV1" s="1077"/>
      <c r="AW1" s="1077"/>
      <c r="AX1" s="1077"/>
      <c r="AY1" s="1077"/>
      <c r="AZ1" s="1077"/>
    </row>
    <row r="2" spans="1:53" ht="15" thickBot="1">
      <c r="A2" s="1078" t="s">
        <v>370</v>
      </c>
      <c r="B2" s="1078"/>
      <c r="C2" s="1078"/>
      <c r="D2" s="1078"/>
      <c r="E2" s="1078"/>
      <c r="F2" s="1078"/>
      <c r="G2" s="1078"/>
      <c r="H2" s="1078"/>
      <c r="I2" s="1078"/>
      <c r="J2" s="1078"/>
      <c r="K2" s="1078"/>
      <c r="L2" s="1078"/>
      <c r="M2" s="1078"/>
      <c r="N2" s="1078"/>
      <c r="O2" s="1078"/>
      <c r="P2" s="1078"/>
      <c r="Q2" s="1078"/>
      <c r="R2" s="1078"/>
      <c r="S2" s="1078"/>
      <c r="T2" s="1078"/>
      <c r="U2" s="1078"/>
      <c r="V2" s="1078"/>
      <c r="W2" s="1078"/>
      <c r="X2" s="1078"/>
      <c r="Y2" s="1078"/>
      <c r="Z2" s="1078"/>
      <c r="AA2" s="1078"/>
      <c r="AB2" s="1078"/>
      <c r="AC2" s="1078"/>
      <c r="AD2" s="1078"/>
      <c r="AE2" s="1078"/>
      <c r="AF2" s="1078"/>
      <c r="AG2" s="1078"/>
      <c r="AH2" s="1078"/>
      <c r="AI2" s="1078"/>
      <c r="AJ2" s="1078"/>
      <c r="AK2" s="1078"/>
      <c r="AL2" s="1078"/>
      <c r="AM2" s="1078"/>
      <c r="AN2" s="1078"/>
      <c r="AO2" s="1078"/>
      <c r="AP2" s="1078"/>
      <c r="AQ2" s="1078"/>
      <c r="AR2" s="1078"/>
      <c r="AS2" s="1078"/>
      <c r="AT2" s="1078"/>
      <c r="AU2" s="1078"/>
      <c r="AV2" s="1078"/>
      <c r="AW2" s="1078"/>
      <c r="AX2" s="1078"/>
      <c r="AY2" s="1078"/>
      <c r="AZ2" s="1078"/>
    </row>
    <row r="3" spans="1:53" ht="41.25" customHeight="1" thickBot="1">
      <c r="A3" s="1079" t="s">
        <v>0</v>
      </c>
      <c r="B3" s="1081" t="s">
        <v>150</v>
      </c>
      <c r="C3" s="1082"/>
      <c r="D3" s="1067" t="s">
        <v>151</v>
      </c>
      <c r="E3" s="1074"/>
      <c r="F3" s="1063" t="s">
        <v>152</v>
      </c>
      <c r="G3" s="1064"/>
      <c r="H3" s="1067" t="s">
        <v>153</v>
      </c>
      <c r="I3" s="1068"/>
      <c r="J3" s="1063" t="s">
        <v>154</v>
      </c>
      <c r="K3" s="1064"/>
      <c r="L3" s="1071" t="s">
        <v>155</v>
      </c>
      <c r="M3" s="1071"/>
      <c r="N3" s="1063" t="s">
        <v>255</v>
      </c>
      <c r="O3" s="1064"/>
      <c r="P3" s="1063" t="s">
        <v>156</v>
      </c>
      <c r="Q3" s="1064"/>
      <c r="R3" s="1063" t="s">
        <v>157</v>
      </c>
      <c r="S3" s="1064"/>
      <c r="T3" s="1071" t="s">
        <v>158</v>
      </c>
      <c r="U3" s="1071"/>
      <c r="V3" s="1063" t="s">
        <v>159</v>
      </c>
      <c r="W3" s="1064"/>
      <c r="X3" s="1071" t="s">
        <v>160</v>
      </c>
      <c r="Y3" s="1071"/>
      <c r="Z3" s="1063" t="s">
        <v>365</v>
      </c>
      <c r="AA3" s="1071"/>
      <c r="AB3" s="1072" t="s">
        <v>161</v>
      </c>
      <c r="AC3" s="1073"/>
      <c r="AD3" s="1075" t="s">
        <v>162</v>
      </c>
      <c r="AE3" s="1076"/>
      <c r="AF3" s="1063" t="s">
        <v>163</v>
      </c>
      <c r="AG3" s="1071"/>
      <c r="AH3" s="1063" t="s">
        <v>164</v>
      </c>
      <c r="AI3" s="1071"/>
      <c r="AJ3" s="1063" t="s">
        <v>165</v>
      </c>
      <c r="AK3" s="1071"/>
      <c r="AL3" s="1075" t="s">
        <v>166</v>
      </c>
      <c r="AM3" s="1076"/>
      <c r="AN3" s="1069" t="s">
        <v>167</v>
      </c>
      <c r="AO3" s="1070"/>
      <c r="AP3" s="1063" t="s">
        <v>168</v>
      </c>
      <c r="AQ3" s="1071"/>
      <c r="AR3" s="1063" t="s">
        <v>169</v>
      </c>
      <c r="AS3" s="1071"/>
      <c r="AT3" s="1072" t="s">
        <v>170</v>
      </c>
      <c r="AU3" s="1073"/>
      <c r="AV3" s="1067" t="s">
        <v>1</v>
      </c>
      <c r="AW3" s="1074"/>
      <c r="AX3" s="1083" t="s">
        <v>171</v>
      </c>
      <c r="AY3" s="1084"/>
      <c r="AZ3" s="1065" t="s">
        <v>2</v>
      </c>
      <c r="BA3" s="1066"/>
    </row>
    <row r="4" spans="1:53" s="336" customFormat="1" ht="15" customHeight="1" thickBot="1">
      <c r="A4" s="1080"/>
      <c r="B4" s="344" t="s">
        <v>254</v>
      </c>
      <c r="C4" s="345" t="s">
        <v>358</v>
      </c>
      <c r="D4" s="344" t="s">
        <v>254</v>
      </c>
      <c r="E4" s="345" t="s">
        <v>358</v>
      </c>
      <c r="F4" s="344" t="s">
        <v>254</v>
      </c>
      <c r="G4" s="345" t="s">
        <v>358</v>
      </c>
      <c r="H4" s="344" t="s">
        <v>254</v>
      </c>
      <c r="I4" s="345" t="s">
        <v>358</v>
      </c>
      <c r="J4" s="344" t="s">
        <v>254</v>
      </c>
      <c r="K4" s="345" t="s">
        <v>358</v>
      </c>
      <c r="L4" s="344" t="s">
        <v>254</v>
      </c>
      <c r="M4" s="345" t="s">
        <v>358</v>
      </c>
      <c r="N4" s="344" t="s">
        <v>254</v>
      </c>
      <c r="O4" s="345" t="s">
        <v>358</v>
      </c>
      <c r="P4" s="344" t="s">
        <v>254</v>
      </c>
      <c r="Q4" s="345" t="s">
        <v>358</v>
      </c>
      <c r="R4" s="344" t="s">
        <v>254</v>
      </c>
      <c r="S4" s="345" t="s">
        <v>358</v>
      </c>
      <c r="T4" s="344" t="s">
        <v>254</v>
      </c>
      <c r="U4" s="345" t="s">
        <v>358</v>
      </c>
      <c r="V4" s="344" t="s">
        <v>254</v>
      </c>
      <c r="W4" s="345" t="s">
        <v>358</v>
      </c>
      <c r="X4" s="344" t="s">
        <v>254</v>
      </c>
      <c r="Y4" s="345" t="s">
        <v>358</v>
      </c>
      <c r="Z4" s="344" t="s">
        <v>254</v>
      </c>
      <c r="AA4" s="345" t="s">
        <v>358</v>
      </c>
      <c r="AB4" s="344" t="s">
        <v>254</v>
      </c>
      <c r="AC4" s="345" t="s">
        <v>358</v>
      </c>
      <c r="AD4" s="344" t="s">
        <v>254</v>
      </c>
      <c r="AE4" s="345" t="s">
        <v>358</v>
      </c>
      <c r="AF4" s="344" t="s">
        <v>254</v>
      </c>
      <c r="AG4" s="345" t="s">
        <v>358</v>
      </c>
      <c r="AH4" s="344" t="s">
        <v>254</v>
      </c>
      <c r="AI4" s="345" t="s">
        <v>358</v>
      </c>
      <c r="AJ4" s="344" t="s">
        <v>254</v>
      </c>
      <c r="AK4" s="345" t="s">
        <v>358</v>
      </c>
      <c r="AL4" s="344" t="s">
        <v>254</v>
      </c>
      <c r="AM4" s="345" t="s">
        <v>358</v>
      </c>
      <c r="AN4" s="344" t="s">
        <v>254</v>
      </c>
      <c r="AO4" s="345" t="s">
        <v>358</v>
      </c>
      <c r="AP4" s="344" t="s">
        <v>254</v>
      </c>
      <c r="AQ4" s="345" t="s">
        <v>358</v>
      </c>
      <c r="AR4" s="344" t="s">
        <v>254</v>
      </c>
      <c r="AS4" s="345" t="s">
        <v>358</v>
      </c>
      <c r="AT4" s="344" t="s">
        <v>254</v>
      </c>
      <c r="AU4" s="345" t="s">
        <v>358</v>
      </c>
      <c r="AV4" s="344" t="s">
        <v>254</v>
      </c>
      <c r="AW4" s="345" t="s">
        <v>358</v>
      </c>
      <c r="AX4" s="344" t="s">
        <v>254</v>
      </c>
      <c r="AY4" s="345" t="s">
        <v>358</v>
      </c>
      <c r="AZ4" s="344" t="s">
        <v>254</v>
      </c>
      <c r="BA4" s="345" t="s">
        <v>358</v>
      </c>
    </row>
    <row r="5" spans="1:53" ht="28.5">
      <c r="A5" s="570" t="s">
        <v>109</v>
      </c>
      <c r="B5" s="342">
        <v>10251.950000000001</v>
      </c>
      <c r="C5" s="496">
        <v>14021</v>
      </c>
      <c r="D5" s="342"/>
      <c r="E5" s="496"/>
      <c r="F5" s="342"/>
      <c r="G5" s="496"/>
      <c r="H5" s="342">
        <v>20948.03</v>
      </c>
      <c r="I5" s="496">
        <v>10671</v>
      </c>
      <c r="J5" s="342">
        <v>-8237.64</v>
      </c>
      <c r="K5" s="340">
        <v>-20091</v>
      </c>
      <c r="L5" s="338"/>
      <c r="M5" s="496"/>
      <c r="N5" s="342">
        <v>11290.46</v>
      </c>
      <c r="O5" s="340">
        <v>1790</v>
      </c>
      <c r="P5" s="342"/>
      <c r="Q5" s="340"/>
      <c r="R5" s="342"/>
      <c r="S5" s="340"/>
      <c r="T5" s="338"/>
      <c r="U5" s="496"/>
      <c r="V5" s="32">
        <v>56454</v>
      </c>
      <c r="W5" s="340">
        <v>32683</v>
      </c>
      <c r="X5" s="338">
        <v>109924.63</v>
      </c>
      <c r="Y5" s="695">
        <v>72946</v>
      </c>
      <c r="Z5" s="342"/>
      <c r="AA5" s="496"/>
      <c r="AB5" s="342">
        <v>1873.01</v>
      </c>
      <c r="AC5" s="496">
        <v>6144.72</v>
      </c>
      <c r="AD5" s="342"/>
      <c r="AE5" s="496"/>
      <c r="AF5" s="342">
        <v>18614.099999999999</v>
      </c>
      <c r="AG5" s="496">
        <v>14829</v>
      </c>
      <c r="AH5" s="342">
        <v>4186.03</v>
      </c>
      <c r="AI5" s="496">
        <v>2818</v>
      </c>
      <c r="AJ5" s="342"/>
      <c r="AK5" s="496"/>
      <c r="AL5" s="342"/>
      <c r="AM5" s="496"/>
      <c r="AN5" s="341">
        <v>39554.29</v>
      </c>
      <c r="AO5" s="678">
        <v>9303</v>
      </c>
      <c r="AP5" s="342"/>
      <c r="AQ5" s="496"/>
      <c r="AR5" s="342">
        <v>4747.46</v>
      </c>
      <c r="AS5" s="496">
        <v>10581</v>
      </c>
      <c r="AT5" s="342">
        <v>1939.33</v>
      </c>
      <c r="AU5" s="496">
        <v>2871</v>
      </c>
      <c r="AV5" s="342">
        <f t="shared" ref="AV5:AV25" si="0">SUM(B5+D5+F5+H5+J5+L5+N5+P5+R5+T5+V5+X5+Z5+AB5+AD5+AF5+AH5+AJ5+AL5+AN5+AP5+AR5+AT5)</f>
        <v>271545.65000000002</v>
      </c>
      <c r="AW5" s="342">
        <f t="shared" ref="AW5:AW25" si="1">SUM(C5+E5+G5+I5+K5+M5+O5+Q5+S5+U5+W5+Y5+AA5+AC5+AE5+AG5+AI5+AK5+AM5+AO5+AQ5+AS5+AU5)</f>
        <v>158566.72</v>
      </c>
      <c r="AX5" s="342"/>
      <c r="AY5" s="339"/>
      <c r="AZ5" s="342">
        <f t="shared" ref="AZ5:AZ25" si="2">AV5+AX5</f>
        <v>271545.65000000002</v>
      </c>
      <c r="BA5" s="343">
        <f t="shared" ref="BA5:BA25" si="3">AW5+AY5</f>
        <v>158566.72</v>
      </c>
    </row>
    <row r="6" spans="1:53" ht="28.5">
      <c r="A6" s="571" t="s">
        <v>110</v>
      </c>
      <c r="B6" s="39"/>
      <c r="C6" s="701"/>
      <c r="D6" s="12"/>
      <c r="E6" s="668"/>
      <c r="F6" s="12"/>
      <c r="G6" s="668"/>
      <c r="H6" s="12"/>
      <c r="I6" s="496"/>
      <c r="J6" s="12"/>
      <c r="K6" s="340"/>
      <c r="L6" s="14"/>
      <c r="M6" s="668"/>
      <c r="N6" s="12"/>
      <c r="O6" s="340"/>
      <c r="P6" s="12"/>
      <c r="Q6" s="340"/>
      <c r="R6" s="12"/>
      <c r="S6" s="15"/>
      <c r="T6" s="14"/>
      <c r="U6" s="668"/>
      <c r="V6" s="12"/>
      <c r="W6" s="340"/>
      <c r="X6" s="14"/>
      <c r="Y6" s="695"/>
      <c r="Z6" s="227"/>
      <c r="AA6" s="693"/>
      <c r="AB6" s="12"/>
      <c r="AC6" s="496"/>
      <c r="AD6" s="12"/>
      <c r="AE6" s="668"/>
      <c r="AF6" s="12"/>
      <c r="AG6" s="496"/>
      <c r="AH6" s="12"/>
      <c r="AI6" s="496"/>
      <c r="AJ6" s="12"/>
      <c r="AK6" s="668"/>
      <c r="AL6" s="687"/>
      <c r="AM6" s="496"/>
      <c r="AN6" s="211"/>
      <c r="AO6" s="678"/>
      <c r="AP6" s="681"/>
      <c r="AQ6" s="267"/>
      <c r="AR6" s="165"/>
      <c r="AS6" s="496"/>
      <c r="AT6" s="12"/>
      <c r="AU6" s="668"/>
      <c r="AV6" s="8">
        <f t="shared" si="0"/>
        <v>0</v>
      </c>
      <c r="AW6" s="8">
        <f t="shared" si="1"/>
        <v>0</v>
      </c>
      <c r="AX6" s="165"/>
      <c r="AY6" s="17"/>
      <c r="AZ6" s="8">
        <f t="shared" si="2"/>
        <v>0</v>
      </c>
      <c r="BA6" s="667">
        <f t="shared" si="3"/>
        <v>0</v>
      </c>
    </row>
    <row r="7" spans="1:53" ht="28.5">
      <c r="A7" s="571" t="s">
        <v>111</v>
      </c>
      <c r="B7" s="39">
        <v>9389.18</v>
      </c>
      <c r="C7" s="701">
        <v>9248</v>
      </c>
      <c r="D7" s="12">
        <v>200</v>
      </c>
      <c r="E7" s="668">
        <v>72</v>
      </c>
      <c r="F7" s="12">
        <v>2277</v>
      </c>
      <c r="G7" s="668">
        <v>2072</v>
      </c>
      <c r="H7" s="12">
        <v>24150.2</v>
      </c>
      <c r="I7" s="496">
        <v>27822</v>
      </c>
      <c r="J7" s="12">
        <v>1297.1500000000001</v>
      </c>
      <c r="K7" s="340">
        <v>1839</v>
      </c>
      <c r="L7" s="14">
        <v>4149</v>
      </c>
      <c r="M7" s="668">
        <v>3720</v>
      </c>
      <c r="N7" s="12">
        <v>2124.91</v>
      </c>
      <c r="O7" s="340">
        <v>2418</v>
      </c>
      <c r="P7" s="12">
        <v>1291</v>
      </c>
      <c r="Q7" s="340">
        <v>879</v>
      </c>
      <c r="R7" s="12">
        <v>3752</v>
      </c>
      <c r="S7" s="15">
        <v>4004</v>
      </c>
      <c r="T7" s="14">
        <v>908.35</v>
      </c>
      <c r="U7" s="668">
        <v>458</v>
      </c>
      <c r="V7" s="12">
        <v>20181</v>
      </c>
      <c r="W7" s="340">
        <v>24912</v>
      </c>
      <c r="X7" s="14">
        <v>22347.96</v>
      </c>
      <c r="Y7" s="695">
        <v>25592</v>
      </c>
      <c r="Z7" s="40">
        <v>2017.83</v>
      </c>
      <c r="AA7" s="693">
        <v>2411</v>
      </c>
      <c r="AB7" s="12">
        <v>2587.9899999999998</v>
      </c>
      <c r="AC7" s="496">
        <v>2473.46</v>
      </c>
      <c r="AD7" s="12">
        <v>11904</v>
      </c>
      <c r="AE7" s="668">
        <v>13639</v>
      </c>
      <c r="AF7" s="12">
        <v>9686</v>
      </c>
      <c r="AG7" s="496">
        <v>10597</v>
      </c>
      <c r="AH7" s="12">
        <v>4974.93</v>
      </c>
      <c r="AI7" s="496">
        <v>5112</v>
      </c>
      <c r="AJ7" s="12">
        <v>4101.1400000000003</v>
      </c>
      <c r="AK7" s="668">
        <v>4547</v>
      </c>
      <c r="AL7" s="687"/>
      <c r="AM7" s="496"/>
      <c r="AN7" s="212">
        <v>24829</v>
      </c>
      <c r="AO7" s="678">
        <v>27536</v>
      </c>
      <c r="AP7" s="681">
        <v>1431.66</v>
      </c>
      <c r="AQ7" s="267">
        <v>1968</v>
      </c>
      <c r="AR7" s="165">
        <v>1888</v>
      </c>
      <c r="AS7" s="496">
        <v>2188</v>
      </c>
      <c r="AT7" s="12">
        <v>6507.76</v>
      </c>
      <c r="AU7" s="668">
        <v>6954</v>
      </c>
      <c r="AV7" s="8">
        <f t="shared" si="0"/>
        <v>161996.06000000003</v>
      </c>
      <c r="AW7" s="8">
        <f t="shared" si="1"/>
        <v>180461.46000000002</v>
      </c>
      <c r="AX7" s="165"/>
      <c r="AY7" s="17"/>
      <c r="AZ7" s="8">
        <f t="shared" si="2"/>
        <v>161996.06000000003</v>
      </c>
      <c r="BA7" s="667">
        <f t="shared" si="3"/>
        <v>180461.46000000002</v>
      </c>
    </row>
    <row r="8" spans="1:53" ht="42.75">
      <c r="A8" s="571" t="s">
        <v>112</v>
      </c>
      <c r="B8" s="39">
        <v>159.88999999999999</v>
      </c>
      <c r="C8" s="701">
        <v>592</v>
      </c>
      <c r="D8" s="12">
        <v>5</v>
      </c>
      <c r="E8" s="668">
        <v>69</v>
      </c>
      <c r="F8" s="12">
        <v>31</v>
      </c>
      <c r="G8" s="668">
        <v>278</v>
      </c>
      <c r="H8" s="12">
        <v>20479.900000000001</v>
      </c>
      <c r="I8" s="496">
        <v>17853</v>
      </c>
      <c r="J8" s="12">
        <v>820.96</v>
      </c>
      <c r="K8" s="340">
        <v>1183</v>
      </c>
      <c r="L8" s="14">
        <v>1736.86</v>
      </c>
      <c r="M8" s="668">
        <v>353</v>
      </c>
      <c r="N8" s="12">
        <v>796.69</v>
      </c>
      <c r="O8" s="340">
        <v>505</v>
      </c>
      <c r="P8" s="12">
        <v>534</v>
      </c>
      <c r="Q8" s="340">
        <v>863</v>
      </c>
      <c r="R8" s="12">
        <v>2032</v>
      </c>
      <c r="S8" s="15">
        <v>647</v>
      </c>
      <c r="T8" s="14">
        <v>361.01</v>
      </c>
      <c r="U8" s="668">
        <v>291</v>
      </c>
      <c r="V8" s="12">
        <v>3173</v>
      </c>
      <c r="W8" s="340">
        <v>21823</v>
      </c>
      <c r="X8" s="14">
        <v>19252.45</v>
      </c>
      <c r="Y8" s="695">
        <v>48263</v>
      </c>
      <c r="Z8" s="40">
        <v>68.760000000000005</v>
      </c>
      <c r="AA8" s="693">
        <v>54</v>
      </c>
      <c r="AB8" s="12">
        <v>141.35</v>
      </c>
      <c r="AC8" s="496">
        <v>139</v>
      </c>
      <c r="AD8" s="12">
        <v>237.29</v>
      </c>
      <c r="AE8" s="668"/>
      <c r="AF8" s="12">
        <v>582.66</v>
      </c>
      <c r="AG8" s="496">
        <v>7950</v>
      </c>
      <c r="AH8" s="12">
        <v>80.930000000000007</v>
      </c>
      <c r="AI8" s="496">
        <v>1823</v>
      </c>
      <c r="AJ8" s="12">
        <v>1194.1600000000001</v>
      </c>
      <c r="AK8" s="668">
        <v>1867</v>
      </c>
      <c r="AL8" s="687"/>
      <c r="AM8" s="496"/>
      <c r="AN8" s="212">
        <v>8337</v>
      </c>
      <c r="AO8" s="678">
        <v>23902</v>
      </c>
      <c r="AP8" s="681">
        <v>1617.06</v>
      </c>
      <c r="AQ8" s="267">
        <v>2868</v>
      </c>
      <c r="AR8" s="165">
        <v>1403.96</v>
      </c>
      <c r="AS8" s="496">
        <v>403</v>
      </c>
      <c r="AT8" s="12">
        <v>531</v>
      </c>
      <c r="AU8" s="668">
        <v>398</v>
      </c>
      <c r="AV8" s="8">
        <f t="shared" si="0"/>
        <v>63576.93</v>
      </c>
      <c r="AW8" s="8">
        <f t="shared" si="1"/>
        <v>132124</v>
      </c>
      <c r="AX8" s="165"/>
      <c r="AY8" s="17"/>
      <c r="AZ8" s="8">
        <f t="shared" si="2"/>
        <v>63576.93</v>
      </c>
      <c r="BA8" s="667">
        <f t="shared" si="3"/>
        <v>132124</v>
      </c>
    </row>
    <row r="9" spans="1:53" ht="42.75">
      <c r="A9" s="571" t="s">
        <v>113</v>
      </c>
      <c r="B9" s="39">
        <v>-5.7</v>
      </c>
      <c r="C9" s="701">
        <v>-74</v>
      </c>
      <c r="D9" s="12"/>
      <c r="E9" s="668"/>
      <c r="F9" s="12">
        <v>-495</v>
      </c>
      <c r="G9" s="668">
        <v>-56</v>
      </c>
      <c r="H9" s="12">
        <v>-9573.23</v>
      </c>
      <c r="I9" s="496">
        <v>-4101</v>
      </c>
      <c r="J9" s="12">
        <v>-456.36</v>
      </c>
      <c r="K9" s="340">
        <v>-163</v>
      </c>
      <c r="L9" s="14"/>
      <c r="M9" s="668"/>
      <c r="N9" s="12">
        <v>-207.5</v>
      </c>
      <c r="O9" s="340">
        <v>-73</v>
      </c>
      <c r="P9" s="12">
        <v>-275</v>
      </c>
      <c r="Q9" s="340">
        <v>-879</v>
      </c>
      <c r="R9" s="12"/>
      <c r="S9" s="15"/>
      <c r="T9" s="14">
        <v>-212.33</v>
      </c>
      <c r="U9" s="668">
        <v>23</v>
      </c>
      <c r="V9" s="12"/>
      <c r="W9" s="340">
        <v>-460</v>
      </c>
      <c r="X9" s="14">
        <v>-11825.09</v>
      </c>
      <c r="Y9" s="695">
        <v>-473</v>
      </c>
      <c r="Z9" s="40">
        <v>-60.58</v>
      </c>
      <c r="AA9" s="693"/>
      <c r="AB9" s="12">
        <v>-0.03</v>
      </c>
      <c r="AC9" s="496">
        <v>-45.76</v>
      </c>
      <c r="AD9" s="12"/>
      <c r="AE9" s="668">
        <v>-160</v>
      </c>
      <c r="AF9" s="12">
        <v>-39.06</v>
      </c>
      <c r="AG9" s="496">
        <v>-225</v>
      </c>
      <c r="AH9" s="12">
        <v>-80.209999999999994</v>
      </c>
      <c r="AI9" s="496"/>
      <c r="AJ9" s="12">
        <v>-537.91999999999996</v>
      </c>
      <c r="AK9" s="668">
        <v>-194</v>
      </c>
      <c r="AL9" s="687"/>
      <c r="AM9" s="496"/>
      <c r="AN9" s="212">
        <v>-4975.37</v>
      </c>
      <c r="AO9" s="678">
        <v>-14</v>
      </c>
      <c r="AP9" s="681">
        <v>-1414.87</v>
      </c>
      <c r="AQ9" s="267">
        <v>-215</v>
      </c>
      <c r="AR9" s="165">
        <v>-52.7</v>
      </c>
      <c r="AS9" s="496"/>
      <c r="AT9" s="12">
        <v>-33.78</v>
      </c>
      <c r="AU9" s="668">
        <v>-80</v>
      </c>
      <c r="AV9" s="8">
        <f t="shared" si="0"/>
        <v>-30244.729999999996</v>
      </c>
      <c r="AW9" s="8">
        <f t="shared" si="1"/>
        <v>-7189.76</v>
      </c>
      <c r="AX9" s="165"/>
      <c r="AY9" s="17"/>
      <c r="AZ9" s="8">
        <f t="shared" si="2"/>
        <v>-30244.729999999996</v>
      </c>
      <c r="BA9" s="667">
        <f t="shared" si="3"/>
        <v>-7189.76</v>
      </c>
    </row>
    <row r="10" spans="1:53" ht="42.75">
      <c r="A10" s="571" t="s">
        <v>114</v>
      </c>
      <c r="B10" s="8"/>
      <c r="C10" s="701">
        <v>451</v>
      </c>
      <c r="D10" s="20">
        <v>33</v>
      </c>
      <c r="E10" s="668">
        <v>68</v>
      </c>
      <c r="F10" s="20"/>
      <c r="G10" s="668"/>
      <c r="H10" s="20">
        <v>-601.24</v>
      </c>
      <c r="I10" s="496">
        <v>-1449</v>
      </c>
      <c r="J10" s="20"/>
      <c r="K10" s="340"/>
      <c r="L10" s="22">
        <v>-59</v>
      </c>
      <c r="M10" s="668">
        <v>179</v>
      </c>
      <c r="N10" s="20">
        <v>-140</v>
      </c>
      <c r="O10" s="340">
        <v>-168</v>
      </c>
      <c r="P10" s="20"/>
      <c r="Q10" s="340"/>
      <c r="R10" s="20">
        <v>-121</v>
      </c>
      <c r="S10" s="15">
        <v>-269</v>
      </c>
      <c r="T10" s="22"/>
      <c r="U10" s="668"/>
      <c r="V10" s="20"/>
      <c r="W10" s="340"/>
      <c r="X10" s="22">
        <v>-13.82</v>
      </c>
      <c r="Y10" s="695">
        <v>-575</v>
      </c>
      <c r="Z10" s="40">
        <v>198.47</v>
      </c>
      <c r="AA10" s="693">
        <v>131</v>
      </c>
      <c r="AB10" s="20">
        <v>-58.99</v>
      </c>
      <c r="AC10" s="496">
        <v>-31.36</v>
      </c>
      <c r="AD10" s="691">
        <v>-78</v>
      </c>
      <c r="AE10" s="668">
        <v>-120</v>
      </c>
      <c r="AF10" s="20">
        <v>586</v>
      </c>
      <c r="AG10" s="496">
        <v>99</v>
      </c>
      <c r="AH10" s="20">
        <v>-130.37</v>
      </c>
      <c r="AI10" s="496">
        <v>-46</v>
      </c>
      <c r="AJ10" s="20">
        <v>-129.49</v>
      </c>
      <c r="AK10" s="668">
        <v>-149</v>
      </c>
      <c r="AL10" s="687"/>
      <c r="AM10" s="496"/>
      <c r="AN10" s="212">
        <v>476</v>
      </c>
      <c r="AO10" s="678">
        <v>809</v>
      </c>
      <c r="AP10" s="681">
        <v>-2.79</v>
      </c>
      <c r="AQ10" s="267">
        <v>-17</v>
      </c>
      <c r="AR10" s="165">
        <v>-23</v>
      </c>
      <c r="AS10" s="496">
        <v>-36</v>
      </c>
      <c r="AT10" s="20">
        <v>842.57</v>
      </c>
      <c r="AU10" s="668">
        <v>878</v>
      </c>
      <c r="AV10" s="8">
        <f t="shared" si="0"/>
        <v>778.34</v>
      </c>
      <c r="AW10" s="8">
        <f t="shared" si="1"/>
        <v>-245.3599999999999</v>
      </c>
      <c r="AX10" s="20"/>
      <c r="AY10" s="17"/>
      <c r="AZ10" s="8">
        <f t="shared" si="2"/>
        <v>778.34</v>
      </c>
      <c r="BA10" s="667">
        <f t="shared" si="3"/>
        <v>-245.3599999999999</v>
      </c>
    </row>
    <row r="11" spans="1:53" ht="42.75">
      <c r="A11" s="571" t="s">
        <v>252</v>
      </c>
      <c r="B11" s="8"/>
      <c r="C11" s="701"/>
      <c r="D11" s="20"/>
      <c r="E11" s="668"/>
      <c r="F11" s="20"/>
      <c r="G11" s="668"/>
      <c r="H11" s="20"/>
      <c r="I11" s="496"/>
      <c r="J11" s="20"/>
      <c r="K11" s="340"/>
      <c r="L11" s="22"/>
      <c r="M11" s="668"/>
      <c r="N11" s="20"/>
      <c r="O11" s="340"/>
      <c r="P11" s="20"/>
      <c r="Q11" s="340"/>
      <c r="R11" s="20"/>
      <c r="S11" s="15"/>
      <c r="T11" s="22"/>
      <c r="U11" s="668"/>
      <c r="V11" s="20"/>
      <c r="W11" s="340"/>
      <c r="X11" s="22">
        <v>93.6</v>
      </c>
      <c r="Y11" s="695">
        <v>607</v>
      </c>
      <c r="Z11" s="40"/>
      <c r="AA11" s="693"/>
      <c r="AB11" s="20"/>
      <c r="AC11" s="496"/>
      <c r="AD11" s="691"/>
      <c r="AE11" s="668"/>
      <c r="AF11" s="20"/>
      <c r="AG11" s="496"/>
      <c r="AH11" s="20"/>
      <c r="AI11" s="496"/>
      <c r="AJ11" s="20"/>
      <c r="AK11" s="668"/>
      <c r="AL11" s="687"/>
      <c r="AM11" s="496"/>
      <c r="AN11" s="212"/>
      <c r="AO11" s="678"/>
      <c r="AP11" s="681"/>
      <c r="AQ11" s="267"/>
      <c r="AR11" s="165"/>
      <c r="AS11" s="496"/>
      <c r="AT11" s="20"/>
      <c r="AU11" s="668"/>
      <c r="AV11" s="8"/>
      <c r="AW11" s="8"/>
      <c r="AX11" s="20"/>
      <c r="AY11" s="17"/>
      <c r="AZ11" s="8"/>
      <c r="BA11" s="703"/>
    </row>
    <row r="12" spans="1:53">
      <c r="A12" s="571" t="s">
        <v>115</v>
      </c>
      <c r="B12" s="39"/>
      <c r="C12" s="701"/>
      <c r="D12" s="12"/>
      <c r="E12" s="668"/>
      <c r="F12" s="12"/>
      <c r="G12" s="668"/>
      <c r="H12" s="12"/>
      <c r="I12" s="496"/>
      <c r="J12" s="12"/>
      <c r="K12" s="340"/>
      <c r="L12" s="14">
        <v>8.7799999999999994</v>
      </c>
      <c r="M12" s="668"/>
      <c r="N12" s="12"/>
      <c r="O12" s="340"/>
      <c r="P12" s="12">
        <v>3</v>
      </c>
      <c r="Q12" s="340"/>
      <c r="R12" s="12"/>
      <c r="S12" s="15"/>
      <c r="T12" s="14"/>
      <c r="U12" s="668"/>
      <c r="V12" s="12"/>
      <c r="W12" s="340"/>
      <c r="X12" s="14"/>
      <c r="Y12" s="695"/>
      <c r="Z12" s="12">
        <f>0.43+31.7</f>
        <v>32.130000000000003</v>
      </c>
      <c r="AA12" s="693">
        <v>125</v>
      </c>
      <c r="AB12" s="12">
        <v>36.53</v>
      </c>
      <c r="AC12" s="496">
        <v>346.09</v>
      </c>
      <c r="AD12" s="12">
        <v>19</v>
      </c>
      <c r="AE12" s="668"/>
      <c r="AF12" s="12">
        <v>1225.96</v>
      </c>
      <c r="AG12" s="496">
        <v>171</v>
      </c>
      <c r="AH12" s="12"/>
      <c r="AI12" s="496"/>
      <c r="AJ12" s="12"/>
      <c r="AK12" s="668"/>
      <c r="AL12" s="687"/>
      <c r="AM12" s="496"/>
      <c r="AN12" s="212">
        <v>315.33999999999997</v>
      </c>
      <c r="AO12" s="678">
        <v>454</v>
      </c>
      <c r="AP12" s="681">
        <v>53.81</v>
      </c>
      <c r="AQ12" s="267"/>
      <c r="AR12" s="165"/>
      <c r="AS12" s="496"/>
      <c r="AT12" s="12"/>
      <c r="AU12" s="668"/>
      <c r="AV12" s="8">
        <f t="shared" si="0"/>
        <v>1694.55</v>
      </c>
      <c r="AW12" s="8">
        <f t="shared" si="1"/>
        <v>1096.0899999999999</v>
      </c>
      <c r="AX12" s="165"/>
      <c r="AY12" s="17"/>
      <c r="AZ12" s="8">
        <f t="shared" si="2"/>
        <v>1694.55</v>
      </c>
      <c r="BA12" s="667">
        <f t="shared" si="3"/>
        <v>1096.0899999999999</v>
      </c>
    </row>
    <row r="13" spans="1:53" s="617" customFormat="1">
      <c r="A13" s="614" t="s">
        <v>250</v>
      </c>
      <c r="B13" s="618">
        <f t="shared" ref="B13:Y13" si="4">SUM(B5:B12)</f>
        <v>19795.32</v>
      </c>
      <c r="C13" s="618">
        <f t="shared" si="4"/>
        <v>24238</v>
      </c>
      <c r="D13" s="618">
        <f t="shared" si="4"/>
        <v>238</v>
      </c>
      <c r="E13" s="618">
        <f t="shared" si="4"/>
        <v>209</v>
      </c>
      <c r="F13" s="618">
        <f t="shared" si="4"/>
        <v>1813</v>
      </c>
      <c r="G13" s="618">
        <f t="shared" si="4"/>
        <v>2294</v>
      </c>
      <c r="H13" s="618">
        <f t="shared" si="4"/>
        <v>55403.660000000011</v>
      </c>
      <c r="I13" s="737">
        <f t="shared" si="4"/>
        <v>50796</v>
      </c>
      <c r="J13" s="618">
        <f t="shared" si="4"/>
        <v>-6575.8899999999994</v>
      </c>
      <c r="K13" s="742">
        <f t="shared" si="4"/>
        <v>-17232</v>
      </c>
      <c r="L13" s="739">
        <f t="shared" si="4"/>
        <v>5835.6399999999994</v>
      </c>
      <c r="M13" s="737">
        <f t="shared" si="4"/>
        <v>4252</v>
      </c>
      <c r="N13" s="618">
        <f t="shared" si="4"/>
        <v>13864.56</v>
      </c>
      <c r="O13" s="742">
        <f t="shared" si="4"/>
        <v>4472</v>
      </c>
      <c r="P13" s="618">
        <f t="shared" si="4"/>
        <v>1553</v>
      </c>
      <c r="Q13" s="742">
        <f t="shared" si="4"/>
        <v>863</v>
      </c>
      <c r="R13" s="618">
        <f t="shared" si="4"/>
        <v>5663</v>
      </c>
      <c r="S13" s="742">
        <f t="shared" si="4"/>
        <v>4382</v>
      </c>
      <c r="T13" s="739">
        <f t="shared" si="4"/>
        <v>1057.0300000000002</v>
      </c>
      <c r="U13" s="737">
        <f t="shared" si="4"/>
        <v>772</v>
      </c>
      <c r="V13" s="618">
        <f t="shared" si="4"/>
        <v>79808</v>
      </c>
      <c r="W13" s="742">
        <f t="shared" si="4"/>
        <v>78958</v>
      </c>
      <c r="X13" s="739">
        <f t="shared" si="4"/>
        <v>139779.73000000001</v>
      </c>
      <c r="Y13" s="739">
        <f t="shared" si="4"/>
        <v>146360</v>
      </c>
      <c r="Z13" s="618">
        <f t="shared" ref="Z13:AN13" si="5">SUM(Z5:Z12)</f>
        <v>2256.61</v>
      </c>
      <c r="AA13" s="618">
        <f t="shared" si="5"/>
        <v>2721</v>
      </c>
      <c r="AB13" s="618">
        <f t="shared" si="5"/>
        <v>4579.8600000000006</v>
      </c>
      <c r="AC13" s="618">
        <f t="shared" si="5"/>
        <v>9026.15</v>
      </c>
      <c r="AD13" s="618">
        <f t="shared" si="5"/>
        <v>12082.29</v>
      </c>
      <c r="AE13" s="618">
        <f t="shared" si="5"/>
        <v>13359</v>
      </c>
      <c r="AF13" s="618">
        <f t="shared" si="5"/>
        <v>30655.659999999996</v>
      </c>
      <c r="AG13" s="618">
        <f t="shared" si="5"/>
        <v>33421</v>
      </c>
      <c r="AH13" s="618">
        <f t="shared" si="5"/>
        <v>9031.31</v>
      </c>
      <c r="AI13" s="684">
        <f t="shared" si="5"/>
        <v>9707</v>
      </c>
      <c r="AJ13" s="618">
        <f t="shared" si="5"/>
        <v>4627.8900000000003</v>
      </c>
      <c r="AK13" s="618">
        <f t="shared" si="5"/>
        <v>6071</v>
      </c>
      <c r="AL13" s="618">
        <f t="shared" si="5"/>
        <v>0</v>
      </c>
      <c r="AM13" s="684">
        <f t="shared" si="5"/>
        <v>0</v>
      </c>
      <c r="AN13" s="618">
        <f t="shared" si="5"/>
        <v>68536.260000000009</v>
      </c>
      <c r="AO13" s="674">
        <v>61990</v>
      </c>
      <c r="AP13" s="618">
        <f>SUM(AP5:AP12)</f>
        <v>1684.8700000000003</v>
      </c>
      <c r="AQ13" s="673">
        <v>4604</v>
      </c>
      <c r="AR13" s="618">
        <f>SUM(AR5:AR12)</f>
        <v>7963.72</v>
      </c>
      <c r="AS13" s="618">
        <f>SUM(AS5:AS12)</f>
        <v>13136</v>
      </c>
      <c r="AT13" s="618">
        <f>SUM(AT5:AT12)</f>
        <v>9786.8799999999992</v>
      </c>
      <c r="AU13" s="618">
        <f>SUM(AU5:AU12)</f>
        <v>11021</v>
      </c>
      <c r="AV13" s="615">
        <f t="shared" si="0"/>
        <v>469440.39999999997</v>
      </c>
      <c r="AW13" s="615">
        <f t="shared" si="1"/>
        <v>465420.15</v>
      </c>
      <c r="AX13" s="618">
        <f>SUM(AX5:AX12)</f>
        <v>0</v>
      </c>
      <c r="AY13" s="618">
        <f>SUM(AY5:AY12)</f>
        <v>0</v>
      </c>
      <c r="AZ13" s="615">
        <f t="shared" si="2"/>
        <v>469440.39999999997</v>
      </c>
      <c r="BA13" s="616"/>
    </row>
    <row r="14" spans="1:53" ht="42.75">
      <c r="A14" s="571" t="s">
        <v>116</v>
      </c>
      <c r="B14" s="39">
        <f>1890.85+87.4</f>
        <v>1978.25</v>
      </c>
      <c r="C14" s="701">
        <f>1762+816</f>
        <v>2578</v>
      </c>
      <c r="D14" s="12">
        <v>423.84</v>
      </c>
      <c r="E14" s="668">
        <f>229+28+333</f>
        <v>590</v>
      </c>
      <c r="F14" s="12">
        <v>97</v>
      </c>
      <c r="G14" s="668">
        <v>170</v>
      </c>
      <c r="H14" s="12">
        <v>1779.13</v>
      </c>
      <c r="I14" s="496">
        <f>1160+625</f>
        <v>1785</v>
      </c>
      <c r="J14" s="12">
        <f>43+383</f>
        <v>426</v>
      </c>
      <c r="K14" s="340">
        <f>131+109</f>
        <v>240</v>
      </c>
      <c r="L14" s="14">
        <v>271.63</v>
      </c>
      <c r="M14" s="668">
        <f>159+147</f>
        <v>306</v>
      </c>
      <c r="N14" s="12">
        <v>877</v>
      </c>
      <c r="O14" s="340">
        <v>766</v>
      </c>
      <c r="P14" s="12">
        <v>34</v>
      </c>
      <c r="Q14" s="340">
        <v>49</v>
      </c>
      <c r="R14" s="12">
        <v>172</v>
      </c>
      <c r="S14" s="15">
        <v>899</v>
      </c>
      <c r="T14" s="14">
        <v>178</v>
      </c>
      <c r="U14" s="668">
        <f>281+86</f>
        <v>367</v>
      </c>
      <c r="V14" s="12">
        <f>392+740+271</f>
        <v>1403</v>
      </c>
      <c r="W14" s="340">
        <f>724+2006+382</f>
        <v>3112</v>
      </c>
      <c r="X14" s="14">
        <v>1463.93</v>
      </c>
      <c r="Y14" s="695">
        <f>651+4121+202</f>
        <v>4974</v>
      </c>
      <c r="Z14" s="12">
        <v>137</v>
      </c>
      <c r="AA14" s="693">
        <v>193</v>
      </c>
      <c r="AB14" s="12">
        <f>641.4+54.93</f>
        <v>696.32999999999993</v>
      </c>
      <c r="AC14" s="496">
        <v>430</v>
      </c>
      <c r="AD14" s="12">
        <f>513.48</f>
        <v>513.48</v>
      </c>
      <c r="AE14" s="668">
        <v>114</v>
      </c>
      <c r="AF14" s="12">
        <v>845.39</v>
      </c>
      <c r="AG14" s="496">
        <v>2880</v>
      </c>
      <c r="AH14" s="12">
        <v>670</v>
      </c>
      <c r="AI14" s="668">
        <v>271</v>
      </c>
      <c r="AJ14" s="12">
        <v>962</v>
      </c>
      <c r="AK14" s="668">
        <v>2141</v>
      </c>
      <c r="AL14" s="687"/>
      <c r="AM14" s="668"/>
      <c r="AN14" s="211"/>
      <c r="AO14" s="678"/>
      <c r="AP14" s="681">
        <v>36</v>
      </c>
      <c r="AQ14" s="267">
        <v>115</v>
      </c>
      <c r="AR14" s="165">
        <f>115.86+302.14</f>
        <v>418</v>
      </c>
      <c r="AS14" s="496">
        <v>320</v>
      </c>
      <c r="AT14" s="12">
        <v>552</v>
      </c>
      <c r="AU14" s="668">
        <v>627</v>
      </c>
      <c r="AV14" s="8">
        <f t="shared" si="0"/>
        <v>13933.98</v>
      </c>
      <c r="AW14" s="8">
        <f t="shared" si="1"/>
        <v>22927</v>
      </c>
      <c r="AX14" s="165"/>
      <c r="AY14" s="17"/>
      <c r="AZ14" s="8">
        <f t="shared" si="2"/>
        <v>13933.98</v>
      </c>
      <c r="BA14" s="667"/>
    </row>
    <row r="15" spans="1:53">
      <c r="A15" s="571" t="s">
        <v>117</v>
      </c>
      <c r="B15" s="39"/>
      <c r="C15" s="701"/>
      <c r="D15" s="12"/>
      <c r="E15" s="668"/>
      <c r="F15" s="12"/>
      <c r="G15" s="668"/>
      <c r="H15" s="12"/>
      <c r="I15" s="496"/>
      <c r="J15" s="12"/>
      <c r="K15" s="340"/>
      <c r="L15" s="14"/>
      <c r="M15" s="668"/>
      <c r="N15" s="12"/>
      <c r="O15" s="340"/>
      <c r="P15" s="12"/>
      <c r="Q15" s="340"/>
      <c r="R15" s="12"/>
      <c r="S15" s="15"/>
      <c r="T15" s="14"/>
      <c r="U15" s="668"/>
      <c r="V15" s="12"/>
      <c r="W15" s="340"/>
      <c r="X15" s="14"/>
      <c r="Y15" s="695"/>
      <c r="Z15" s="12"/>
      <c r="AA15" s="693"/>
      <c r="AB15" s="12"/>
      <c r="AC15" s="496"/>
      <c r="AD15" s="12"/>
      <c r="AE15" s="668"/>
      <c r="AF15" s="12"/>
      <c r="AG15" s="496"/>
      <c r="AH15" s="12"/>
      <c r="AI15" s="668"/>
      <c r="AJ15" s="12"/>
      <c r="AK15" s="668"/>
      <c r="AL15" s="687"/>
      <c r="AM15" s="668"/>
      <c r="AN15" s="213"/>
      <c r="AO15" s="678"/>
      <c r="AP15" s="681"/>
      <c r="AQ15" s="267"/>
      <c r="AR15" s="165"/>
      <c r="AS15" s="496"/>
      <c r="AT15" s="12"/>
      <c r="AU15" s="668"/>
      <c r="AV15" s="8">
        <f t="shared" si="0"/>
        <v>0</v>
      </c>
      <c r="AW15" s="8">
        <f t="shared" si="1"/>
        <v>0</v>
      </c>
      <c r="AX15" s="165"/>
      <c r="AY15" s="17"/>
      <c r="AZ15" s="8">
        <f t="shared" si="2"/>
        <v>0</v>
      </c>
      <c r="BA15" s="667">
        <f t="shared" si="3"/>
        <v>0</v>
      </c>
    </row>
    <row r="16" spans="1:53" ht="28.5">
      <c r="A16" s="571" t="s">
        <v>118</v>
      </c>
      <c r="B16" s="8"/>
      <c r="C16" s="701"/>
      <c r="D16" s="20"/>
      <c r="E16" s="668"/>
      <c r="F16" s="20"/>
      <c r="G16" s="668"/>
      <c r="H16" s="20"/>
      <c r="I16" s="496"/>
      <c r="J16" s="20"/>
      <c r="K16" s="340"/>
      <c r="L16" s="22"/>
      <c r="M16" s="668"/>
      <c r="N16" s="20">
        <v>213.97</v>
      </c>
      <c r="O16" s="340"/>
      <c r="P16" s="20"/>
      <c r="Q16" s="340"/>
      <c r="R16" s="20"/>
      <c r="S16" s="15"/>
      <c r="T16" s="22"/>
      <c r="U16" s="668"/>
      <c r="V16" s="20"/>
      <c r="W16" s="340"/>
      <c r="X16" s="22"/>
      <c r="Y16" s="695"/>
      <c r="Z16" s="40"/>
      <c r="AA16" s="693"/>
      <c r="AB16" s="20"/>
      <c r="AC16" s="496"/>
      <c r="AD16" s="691"/>
      <c r="AE16" s="668"/>
      <c r="AF16" s="20"/>
      <c r="AG16" s="496"/>
      <c r="AH16" s="20"/>
      <c r="AI16" s="583"/>
      <c r="AJ16" s="20"/>
      <c r="AK16" s="668"/>
      <c r="AL16" s="687"/>
      <c r="AM16" s="668"/>
      <c r="AN16" s="212">
        <v>93.4</v>
      </c>
      <c r="AO16" s="678">
        <v>62</v>
      </c>
      <c r="AP16" s="681"/>
      <c r="AQ16" s="267"/>
      <c r="AR16" s="165"/>
      <c r="AS16" s="496"/>
      <c r="AT16" s="20"/>
      <c r="AU16" s="668"/>
      <c r="AV16" s="8">
        <f t="shared" si="0"/>
        <v>307.37</v>
      </c>
      <c r="AW16" s="8">
        <f t="shared" si="1"/>
        <v>62</v>
      </c>
      <c r="AX16" s="20"/>
      <c r="AY16" s="17"/>
      <c r="AZ16" s="8">
        <f t="shared" si="2"/>
        <v>307.37</v>
      </c>
      <c r="BA16" s="667">
        <f t="shared" si="3"/>
        <v>62</v>
      </c>
    </row>
    <row r="17" spans="1:53" ht="28.5">
      <c r="A17" s="571" t="s">
        <v>119</v>
      </c>
      <c r="B17" s="39"/>
      <c r="C17" s="701"/>
      <c r="D17" s="12"/>
      <c r="E17" s="668"/>
      <c r="F17" s="12"/>
      <c r="G17" s="668"/>
      <c r="H17" s="12"/>
      <c r="I17" s="496"/>
      <c r="J17" s="12"/>
      <c r="K17" s="340"/>
      <c r="L17" s="14"/>
      <c r="M17" s="668"/>
      <c r="N17" s="12"/>
      <c r="O17" s="340"/>
      <c r="P17" s="12"/>
      <c r="Q17" s="340"/>
      <c r="R17" s="12"/>
      <c r="S17" s="15"/>
      <c r="T17" s="14"/>
      <c r="U17" s="668"/>
      <c r="V17" s="12"/>
      <c r="W17" s="340"/>
      <c r="X17" s="14"/>
      <c r="Y17" s="695"/>
      <c r="Z17" s="40"/>
      <c r="AA17" s="693"/>
      <c r="AB17" s="12"/>
      <c r="AC17" s="496"/>
      <c r="AD17" s="12"/>
      <c r="AE17" s="668"/>
      <c r="AF17" s="12"/>
      <c r="AG17" s="496"/>
      <c r="AH17" s="12"/>
      <c r="AI17" s="668"/>
      <c r="AJ17" s="12"/>
      <c r="AK17" s="668"/>
      <c r="AL17" s="687"/>
      <c r="AM17" s="668"/>
      <c r="AN17" s="212">
        <v>0.39</v>
      </c>
      <c r="AO17" s="678"/>
      <c r="AP17" s="681"/>
      <c r="AQ17" s="267"/>
      <c r="AR17" s="165"/>
      <c r="AS17" s="496"/>
      <c r="AT17" s="12"/>
      <c r="AU17" s="668"/>
      <c r="AV17" s="8">
        <f t="shared" si="0"/>
        <v>0.39</v>
      </c>
      <c r="AW17" s="8">
        <f t="shared" si="1"/>
        <v>0</v>
      </c>
      <c r="AX17" s="12"/>
      <c r="AY17" s="17"/>
      <c r="AZ17" s="8">
        <f t="shared" si="2"/>
        <v>0.39</v>
      </c>
      <c r="BA17" s="667">
        <f t="shared" si="3"/>
        <v>0</v>
      </c>
    </row>
    <row r="18" spans="1:53">
      <c r="A18" s="571" t="s">
        <v>120</v>
      </c>
      <c r="B18" s="39"/>
      <c r="C18" s="701">
        <v>258</v>
      </c>
      <c r="D18" s="12"/>
      <c r="E18" s="668"/>
      <c r="F18" s="12"/>
      <c r="G18" s="668"/>
      <c r="H18" s="12"/>
      <c r="I18" s="496"/>
      <c r="J18" s="12"/>
      <c r="K18" s="340"/>
      <c r="L18" s="14"/>
      <c r="M18" s="668"/>
      <c r="N18" s="12"/>
      <c r="O18" s="340"/>
      <c r="P18" s="12"/>
      <c r="Q18" s="340"/>
      <c r="R18" s="12"/>
      <c r="S18" s="15"/>
      <c r="T18" s="14"/>
      <c r="U18" s="668"/>
      <c r="V18" s="12"/>
      <c r="W18" s="340"/>
      <c r="X18" s="14"/>
      <c r="Y18" s="695"/>
      <c r="Z18" s="40"/>
      <c r="AA18" s="693"/>
      <c r="AB18" s="12"/>
      <c r="AC18" s="496"/>
      <c r="AD18" s="12"/>
      <c r="AE18" s="668"/>
      <c r="AF18" s="12"/>
      <c r="AG18" s="496"/>
      <c r="AH18" s="12"/>
      <c r="AI18" s="668"/>
      <c r="AJ18" s="12"/>
      <c r="AK18" s="668"/>
      <c r="AL18" s="687"/>
      <c r="AM18" s="668"/>
      <c r="AN18" s="212">
        <v>10.25</v>
      </c>
      <c r="AO18" s="678">
        <v>10</v>
      </c>
      <c r="AP18" s="681"/>
      <c r="AQ18" s="267"/>
      <c r="AR18" s="165"/>
      <c r="AS18" s="496"/>
      <c r="AT18" s="12"/>
      <c r="AU18" s="668"/>
      <c r="AV18" s="8">
        <f t="shared" si="0"/>
        <v>10.25</v>
      </c>
      <c r="AW18" s="8">
        <f t="shared" si="1"/>
        <v>268</v>
      </c>
      <c r="AX18" s="12"/>
      <c r="AY18" s="17"/>
      <c r="AZ18" s="8">
        <f t="shared" si="2"/>
        <v>10.25</v>
      </c>
      <c r="BA18" s="667">
        <f t="shared" si="3"/>
        <v>268</v>
      </c>
    </row>
    <row r="19" spans="1:53">
      <c r="A19" s="571" t="s">
        <v>121</v>
      </c>
      <c r="B19" s="39"/>
      <c r="C19" s="701"/>
      <c r="D19" s="12"/>
      <c r="E19" s="668"/>
      <c r="F19" s="12">
        <v>190</v>
      </c>
      <c r="G19" s="668">
        <v>166</v>
      </c>
      <c r="H19" s="12"/>
      <c r="I19" s="496"/>
      <c r="J19" s="12">
        <v>270</v>
      </c>
      <c r="K19" s="340">
        <v>270</v>
      </c>
      <c r="L19" s="14"/>
      <c r="M19" s="668"/>
      <c r="N19" s="12"/>
      <c r="O19" s="340"/>
      <c r="P19" s="12"/>
      <c r="Q19" s="340"/>
      <c r="R19" s="12"/>
      <c r="S19" s="15"/>
      <c r="T19" s="14"/>
      <c r="U19" s="668"/>
      <c r="V19" s="12">
        <v>700</v>
      </c>
      <c r="W19" s="340">
        <v>19504</v>
      </c>
      <c r="X19" s="14">
        <v>813.63</v>
      </c>
      <c r="Y19" s="695">
        <v>321</v>
      </c>
      <c r="Z19" s="40"/>
      <c r="AA19" s="693"/>
      <c r="AB19" s="12">
        <v>8631.77</v>
      </c>
      <c r="AC19" s="496">
        <f>32142.13+429.67</f>
        <v>32571.8</v>
      </c>
      <c r="AD19" s="12"/>
      <c r="AE19" s="668">
        <v>150</v>
      </c>
      <c r="AF19" s="12">
        <v>1216.46</v>
      </c>
      <c r="AG19" s="496">
        <v>612</v>
      </c>
      <c r="AH19" s="12"/>
      <c r="AI19" s="668"/>
      <c r="AJ19" s="12">
        <v>204</v>
      </c>
      <c r="AK19" s="668">
        <v>765</v>
      </c>
      <c r="AL19" s="687"/>
      <c r="AM19" s="668"/>
      <c r="AN19" s="212">
        <v>442.1</v>
      </c>
      <c r="AO19" s="678">
        <v>12151</v>
      </c>
      <c r="AP19" s="681"/>
      <c r="AQ19" s="267"/>
      <c r="AR19" s="165"/>
      <c r="AS19" s="496"/>
      <c r="AT19" s="12"/>
      <c r="AU19" s="668"/>
      <c r="AV19" s="8" t="e">
        <f>SUM(B19+D19+F19+H19+J19+L19+N19+P19+R19+T19+V19+X19+Z19+#REF!+AD19+AF19+AH19+AJ19+AL19+AN19+AP19+AR19+AT19)</f>
        <v>#REF!</v>
      </c>
      <c r="AW19" s="8">
        <f t="shared" si="1"/>
        <v>66510.8</v>
      </c>
      <c r="AX19" s="12"/>
      <c r="AY19" s="17"/>
      <c r="AZ19" s="8" t="e">
        <f t="shared" si="2"/>
        <v>#REF!</v>
      </c>
      <c r="BA19" s="667">
        <f t="shared" si="3"/>
        <v>66510.8</v>
      </c>
    </row>
    <row r="20" spans="1:53" ht="28.5">
      <c r="A20" s="571" t="s">
        <v>122</v>
      </c>
      <c r="B20" s="39"/>
      <c r="C20" s="701">
        <v>63</v>
      </c>
      <c r="D20" s="12"/>
      <c r="E20" s="668"/>
      <c r="F20" s="12"/>
      <c r="G20" s="668"/>
      <c r="H20" s="12"/>
      <c r="I20" s="496">
        <v>613</v>
      </c>
      <c r="J20" s="12"/>
      <c r="K20" s="340"/>
      <c r="L20" s="14"/>
      <c r="M20" s="668">
        <v>114</v>
      </c>
      <c r="N20" s="12"/>
      <c r="O20" s="340"/>
      <c r="P20" s="12"/>
      <c r="Q20" s="340"/>
      <c r="R20" s="12"/>
      <c r="S20" s="15"/>
      <c r="T20" s="14"/>
      <c r="U20" s="668"/>
      <c r="V20" s="12">
        <v>763</v>
      </c>
      <c r="W20" s="340">
        <v>686</v>
      </c>
      <c r="X20" s="14"/>
      <c r="Y20" s="695"/>
      <c r="Z20" s="40">
        <v>125</v>
      </c>
      <c r="AA20" s="693">
        <v>230</v>
      </c>
      <c r="AB20" s="12"/>
      <c r="AC20" s="496"/>
      <c r="AD20" s="12">
        <v>217</v>
      </c>
      <c r="AE20" s="668">
        <v>600</v>
      </c>
      <c r="AF20" s="12"/>
      <c r="AG20" s="496">
        <v>420</v>
      </c>
      <c r="AH20" s="12">
        <v>60</v>
      </c>
      <c r="AI20" s="668">
        <v>29</v>
      </c>
      <c r="AJ20" s="12"/>
      <c r="AK20" s="668"/>
      <c r="AL20" s="687"/>
      <c r="AM20" s="668"/>
      <c r="AN20" s="212">
        <v>1246.48</v>
      </c>
      <c r="AO20" s="678">
        <v>1236</v>
      </c>
      <c r="AP20" s="681">
        <v>6</v>
      </c>
      <c r="AQ20" s="267">
        <v>114</v>
      </c>
      <c r="AR20" s="165">
        <v>82</v>
      </c>
      <c r="AS20" s="496">
        <v>84</v>
      </c>
      <c r="AT20" s="12">
        <v>32</v>
      </c>
      <c r="AU20" s="668">
        <v>104</v>
      </c>
      <c r="AV20" s="8">
        <f t="shared" si="0"/>
        <v>2531.48</v>
      </c>
      <c r="AW20" s="8">
        <f t="shared" si="1"/>
        <v>4293</v>
      </c>
      <c r="AX20" s="12"/>
      <c r="AY20" s="17"/>
      <c r="AZ20" s="8">
        <f t="shared" si="2"/>
        <v>2531.48</v>
      </c>
      <c r="BA20" s="667">
        <f t="shared" si="3"/>
        <v>4293</v>
      </c>
    </row>
    <row r="21" spans="1:53">
      <c r="A21" s="571" t="s">
        <v>123</v>
      </c>
      <c r="B21" s="8"/>
      <c r="C21" s="701"/>
      <c r="D21" s="20"/>
      <c r="E21" s="668"/>
      <c r="F21" s="20"/>
      <c r="G21" s="668"/>
      <c r="H21" s="20"/>
      <c r="I21" s="496">
        <v>12718</v>
      </c>
      <c r="J21" s="20"/>
      <c r="K21" s="340"/>
      <c r="L21" s="22"/>
      <c r="M21" s="668"/>
      <c r="N21" s="20"/>
      <c r="O21" s="340"/>
      <c r="P21" s="20">
        <v>85</v>
      </c>
      <c r="Q21" s="340">
        <v>280</v>
      </c>
      <c r="R21" s="20"/>
      <c r="S21" s="15"/>
      <c r="T21" s="22"/>
      <c r="U21" s="668"/>
      <c r="V21" s="20"/>
      <c r="W21" s="340"/>
      <c r="X21" s="22"/>
      <c r="Y21" s="695"/>
      <c r="Z21" s="40"/>
      <c r="AA21" s="693"/>
      <c r="AB21" s="20">
        <v>4.2699999999999996</v>
      </c>
      <c r="AC21" s="496">
        <v>15.43</v>
      </c>
      <c r="AD21" s="691"/>
      <c r="AE21" s="668"/>
      <c r="AF21" s="20"/>
      <c r="AG21" s="496"/>
      <c r="AH21" s="20"/>
      <c r="AI21" s="583"/>
      <c r="AJ21" s="20"/>
      <c r="AK21" s="668"/>
      <c r="AL21" s="687"/>
      <c r="AM21" s="668"/>
      <c r="AN21" s="213"/>
      <c r="AO21" s="678"/>
      <c r="AP21" s="681"/>
      <c r="AQ21" s="267"/>
      <c r="AR21" s="165"/>
      <c r="AS21" s="496"/>
      <c r="AT21" s="20">
        <v>10.53</v>
      </c>
      <c r="AU21" s="668"/>
      <c r="AV21" s="8">
        <f t="shared" si="0"/>
        <v>99.8</v>
      </c>
      <c r="AW21" s="8">
        <f t="shared" si="1"/>
        <v>13013.43</v>
      </c>
      <c r="AX21" s="20"/>
      <c r="AY21" s="17"/>
      <c r="AZ21" s="8">
        <f t="shared" si="2"/>
        <v>99.8</v>
      </c>
      <c r="BA21" s="667">
        <f t="shared" si="3"/>
        <v>13013.43</v>
      </c>
    </row>
    <row r="22" spans="1:53" ht="28.5">
      <c r="A22" s="571" t="s">
        <v>124</v>
      </c>
      <c r="B22" s="39">
        <v>12680.44</v>
      </c>
      <c r="C22" s="701">
        <v>14618</v>
      </c>
      <c r="D22" s="12">
        <v>4782</v>
      </c>
      <c r="E22" s="668">
        <v>4706</v>
      </c>
      <c r="F22" s="12">
        <v>4966</v>
      </c>
      <c r="G22" s="668">
        <v>2282</v>
      </c>
      <c r="H22" s="12">
        <v>29426.35</v>
      </c>
      <c r="I22" s="496">
        <v>30013</v>
      </c>
      <c r="J22" s="12"/>
      <c r="K22" s="340"/>
      <c r="L22" s="14">
        <v>13823.35</v>
      </c>
      <c r="M22" s="668">
        <f>8+32+20236+1+71+664</f>
        <v>21012</v>
      </c>
      <c r="N22" s="227">
        <f>164.06+1234</f>
        <v>1398.06</v>
      </c>
      <c r="O22" s="340">
        <f>8057+1544</f>
        <v>9601</v>
      </c>
      <c r="P22" s="12">
        <v>14467</v>
      </c>
      <c r="Q22" s="340">
        <v>12335</v>
      </c>
      <c r="R22" s="12">
        <v>8140</v>
      </c>
      <c r="S22" s="15">
        <v>14870</v>
      </c>
      <c r="T22" s="14">
        <v>2912</v>
      </c>
      <c r="U22" s="668">
        <f>8352+126</f>
        <v>8478</v>
      </c>
      <c r="V22" s="12"/>
      <c r="W22" s="340"/>
      <c r="X22" s="14"/>
      <c r="Y22" s="695"/>
      <c r="Z22" s="40"/>
      <c r="AA22" s="693"/>
      <c r="AC22" s="496"/>
      <c r="AD22" s="12"/>
      <c r="AE22" s="668">
        <v>28590</v>
      </c>
      <c r="AF22" s="12">
        <v>11992.85</v>
      </c>
      <c r="AG22" s="496">
        <v>4863</v>
      </c>
      <c r="AH22" s="12">
        <v>4990</v>
      </c>
      <c r="AI22" s="668">
        <v>19470</v>
      </c>
      <c r="AJ22" s="12">
        <v>4139</v>
      </c>
      <c r="AK22" s="668">
        <v>7850</v>
      </c>
      <c r="AL22" s="687"/>
      <c r="AM22" s="668"/>
      <c r="AN22" s="213"/>
      <c r="AO22" s="678"/>
      <c r="AP22" s="681">
        <v>74.92</v>
      </c>
      <c r="AQ22" s="267">
        <v>8621</v>
      </c>
      <c r="AR22" s="165">
        <v>7615.42</v>
      </c>
      <c r="AS22" s="496">
        <v>21259</v>
      </c>
      <c r="AT22" s="12">
        <v>15906.47</v>
      </c>
      <c r="AU22" s="668">
        <v>15928</v>
      </c>
      <c r="AV22" s="8">
        <f>SUM(B22+D22+F22+H22+J22+L22+N22+P22+R22+T22+V22+X22+Z22+AB19+AD22+AF22+AH22+AJ22+AL22+AN22+AP22+AR22+AT22)</f>
        <v>145945.63</v>
      </c>
      <c r="AW22" s="8">
        <f t="shared" si="1"/>
        <v>224496</v>
      </c>
      <c r="AX22" s="165"/>
      <c r="AY22" s="17"/>
      <c r="AZ22" s="8">
        <f t="shared" si="2"/>
        <v>145945.63</v>
      </c>
      <c r="BA22" s="667">
        <f t="shared" si="3"/>
        <v>224496</v>
      </c>
    </row>
    <row r="23" spans="1:53" ht="28.5">
      <c r="A23" s="571" t="s">
        <v>125</v>
      </c>
      <c r="B23" s="39"/>
      <c r="C23" s="701"/>
      <c r="D23" s="12"/>
      <c r="E23" s="668"/>
      <c r="F23" s="12"/>
      <c r="G23" s="668"/>
      <c r="H23" s="12"/>
      <c r="I23" s="496"/>
      <c r="J23" s="12"/>
      <c r="K23" s="340"/>
      <c r="L23" s="14"/>
      <c r="M23" s="668"/>
      <c r="N23" s="12"/>
      <c r="O23" s="340"/>
      <c r="P23" s="12"/>
      <c r="Q23" s="340"/>
      <c r="R23" s="12"/>
      <c r="S23" s="15"/>
      <c r="T23" s="14"/>
      <c r="U23" s="668"/>
      <c r="V23" s="12"/>
      <c r="W23" s="340"/>
      <c r="X23" s="14"/>
      <c r="Y23" s="695"/>
      <c r="Z23" s="40"/>
      <c r="AA23" s="693"/>
      <c r="AB23" s="12"/>
      <c r="AC23" s="496"/>
      <c r="AD23" s="12"/>
      <c r="AE23" s="668"/>
      <c r="AF23" s="12"/>
      <c r="AG23" s="496"/>
      <c r="AH23" s="12"/>
      <c r="AI23" s="668"/>
      <c r="AJ23" s="12"/>
      <c r="AK23" s="668"/>
      <c r="AL23" s="687"/>
      <c r="AM23" s="668"/>
      <c r="AN23" s="211"/>
      <c r="AO23" s="678"/>
      <c r="AP23" s="681"/>
      <c r="AQ23" s="267"/>
      <c r="AR23" s="165"/>
      <c r="AS23" s="496"/>
      <c r="AT23" s="12"/>
      <c r="AU23" s="668"/>
      <c r="AV23" s="8">
        <f t="shared" si="0"/>
        <v>0</v>
      </c>
      <c r="AW23" s="8">
        <f t="shared" si="1"/>
        <v>0</v>
      </c>
      <c r="AX23" s="165"/>
      <c r="AY23" s="17"/>
      <c r="AZ23" s="8">
        <f t="shared" si="2"/>
        <v>0</v>
      </c>
      <c r="BA23" s="667">
        <f t="shared" si="3"/>
        <v>0</v>
      </c>
    </row>
    <row r="24" spans="1:53" ht="28.5">
      <c r="A24" s="571" t="s">
        <v>126</v>
      </c>
      <c r="B24" s="39"/>
      <c r="C24" s="701"/>
      <c r="D24" s="12"/>
      <c r="E24" s="668"/>
      <c r="F24" s="12">
        <v>11</v>
      </c>
      <c r="G24" s="668">
        <v>-103</v>
      </c>
      <c r="H24" s="12">
        <v>-414969</v>
      </c>
      <c r="I24" s="496">
        <v>-12718</v>
      </c>
      <c r="J24" s="12"/>
      <c r="K24" s="340"/>
      <c r="L24" s="14"/>
      <c r="M24" s="668"/>
      <c r="N24" s="12">
        <v>1695</v>
      </c>
      <c r="O24" s="340">
        <v>-1512</v>
      </c>
      <c r="P24" s="12"/>
      <c r="Q24" s="340">
        <v>-1667</v>
      </c>
      <c r="R24" s="12"/>
      <c r="S24" s="15"/>
      <c r="T24" s="14">
        <v>350</v>
      </c>
      <c r="U24" s="668"/>
      <c r="V24" s="12">
        <v>-799</v>
      </c>
      <c r="W24" s="340">
        <v>-2612</v>
      </c>
      <c r="X24" s="14">
        <v>2858.43</v>
      </c>
      <c r="Y24" s="695"/>
      <c r="Z24" s="40">
        <v>39.18</v>
      </c>
      <c r="AA24" s="693">
        <v>-35</v>
      </c>
      <c r="AB24" s="12"/>
      <c r="AC24" s="496"/>
      <c r="AD24" s="12">
        <v>34</v>
      </c>
      <c r="AE24" s="668">
        <v>-28</v>
      </c>
      <c r="AF24" s="12">
        <v>80.010000000000005</v>
      </c>
      <c r="AG24" s="496">
        <v>-118</v>
      </c>
      <c r="AH24" s="12"/>
      <c r="AI24" s="668"/>
      <c r="AJ24" s="12"/>
      <c r="AK24" s="668">
        <v>-211</v>
      </c>
      <c r="AL24" s="687"/>
      <c r="AM24" s="668"/>
      <c r="AN24" s="212">
        <v>-1981.3</v>
      </c>
      <c r="AO24" s="678"/>
      <c r="AP24" s="681"/>
      <c r="AQ24" s="267"/>
      <c r="AR24" s="165">
        <v>1160</v>
      </c>
      <c r="AS24" s="496">
        <v>-1120</v>
      </c>
      <c r="AT24" s="12"/>
      <c r="AU24" s="668"/>
      <c r="AV24" s="8">
        <f t="shared" si="0"/>
        <v>-411521.68</v>
      </c>
      <c r="AW24" s="8">
        <f t="shared" si="1"/>
        <v>-20124</v>
      </c>
      <c r="AX24" s="165"/>
      <c r="AY24" s="17"/>
      <c r="AZ24" s="8">
        <f t="shared" si="2"/>
        <v>-411521.68</v>
      </c>
      <c r="BA24" s="667">
        <f t="shared" si="3"/>
        <v>-20124</v>
      </c>
    </row>
    <row r="25" spans="1:53" ht="28.5">
      <c r="A25" s="571" t="s">
        <v>127</v>
      </c>
      <c r="B25" s="39"/>
      <c r="C25" s="701"/>
      <c r="D25" s="12"/>
      <c r="E25" s="668">
        <v>143</v>
      </c>
      <c r="F25" s="12"/>
      <c r="G25" s="668"/>
      <c r="H25" s="12"/>
      <c r="I25" s="496"/>
      <c r="J25" s="12"/>
      <c r="K25" s="340"/>
      <c r="L25" s="14">
        <v>-0.48</v>
      </c>
      <c r="M25" s="668">
        <v>18</v>
      </c>
      <c r="N25" s="12"/>
      <c r="O25" s="340"/>
      <c r="P25" s="12"/>
      <c r="Q25" s="340"/>
      <c r="R25" s="12"/>
      <c r="S25" s="15"/>
      <c r="T25" s="14"/>
      <c r="U25" s="668"/>
      <c r="V25" s="12"/>
      <c r="W25" s="340"/>
      <c r="X25" s="14">
        <v>101.3</v>
      </c>
      <c r="Y25" s="695">
        <v>-791</v>
      </c>
      <c r="Z25" s="40"/>
      <c r="AA25" s="693"/>
      <c r="AB25" s="12"/>
      <c r="AC25" s="496"/>
      <c r="AD25" s="12"/>
      <c r="AE25" s="668"/>
      <c r="AF25" s="12"/>
      <c r="AG25" s="496"/>
      <c r="AH25" s="12"/>
      <c r="AI25" s="668"/>
      <c r="AJ25" s="12"/>
      <c r="AK25" s="668"/>
      <c r="AL25" s="687"/>
      <c r="AM25" s="668"/>
      <c r="AN25" s="213"/>
      <c r="AO25" s="678"/>
      <c r="AP25" s="681"/>
      <c r="AQ25" s="267"/>
      <c r="AR25" s="165">
        <v>15.65</v>
      </c>
      <c r="AS25" s="496">
        <v>13</v>
      </c>
      <c r="AT25" s="12">
        <v>30.22</v>
      </c>
      <c r="AU25" s="668">
        <v>77</v>
      </c>
      <c r="AV25" s="8">
        <f t="shared" si="0"/>
        <v>146.69</v>
      </c>
      <c r="AW25" s="8">
        <f t="shared" si="1"/>
        <v>-540</v>
      </c>
      <c r="AX25" s="165"/>
      <c r="AY25" s="17"/>
      <c r="AZ25" s="8">
        <f t="shared" si="2"/>
        <v>146.69</v>
      </c>
      <c r="BA25" s="667">
        <f t="shared" si="3"/>
        <v>-540</v>
      </c>
    </row>
    <row r="26" spans="1:53">
      <c r="A26" s="571" t="s">
        <v>174</v>
      </c>
      <c r="B26" s="39"/>
      <c r="C26" s="701"/>
      <c r="D26" s="12"/>
      <c r="E26" s="668"/>
      <c r="F26" s="12"/>
      <c r="G26" s="668"/>
      <c r="H26" s="12"/>
      <c r="I26" s="496"/>
      <c r="J26" s="12"/>
      <c r="K26" s="340"/>
      <c r="L26" s="14"/>
      <c r="M26" s="668"/>
      <c r="N26" s="12"/>
      <c r="O26" s="340"/>
      <c r="P26" s="12"/>
      <c r="Q26" s="340"/>
      <c r="R26" s="12"/>
      <c r="S26" s="15"/>
      <c r="T26" s="14"/>
      <c r="U26" s="668"/>
      <c r="V26" s="12"/>
      <c r="W26" s="340"/>
      <c r="X26" s="14">
        <v>70578.41</v>
      </c>
      <c r="Y26" s="695">
        <v>115822</v>
      </c>
      <c r="Z26" s="40">
        <v>245</v>
      </c>
      <c r="AA26" s="693">
        <v>163</v>
      </c>
      <c r="AB26" s="12"/>
      <c r="AC26" s="496"/>
      <c r="AD26" s="12"/>
      <c r="AE26" s="668"/>
      <c r="AF26" s="12"/>
      <c r="AG26" s="496"/>
      <c r="AH26" s="12"/>
      <c r="AI26" s="668"/>
      <c r="AJ26" s="12"/>
      <c r="AK26" s="668"/>
      <c r="AL26" s="687"/>
      <c r="AM26" s="668"/>
      <c r="AN26" s="213"/>
      <c r="AO26" s="678"/>
      <c r="AP26" s="241"/>
      <c r="AQ26" s="267"/>
      <c r="AR26" s="165"/>
      <c r="AS26" s="496"/>
      <c r="AT26" s="12"/>
      <c r="AU26" s="668"/>
      <c r="AV26" s="8"/>
      <c r="AW26" s="8"/>
      <c r="AX26" s="165"/>
      <c r="AY26" s="17"/>
      <c r="AZ26" s="8"/>
      <c r="BA26" s="667"/>
    </row>
    <row r="27" spans="1:53" s="617" customFormat="1">
      <c r="A27" s="614" t="s">
        <v>249</v>
      </c>
      <c r="B27" s="615">
        <f t="shared" ref="B27:AE27" si="6">SUM(B14:B25)</f>
        <v>14658.69</v>
      </c>
      <c r="C27" s="615">
        <f t="shared" si="6"/>
        <v>17517</v>
      </c>
      <c r="D27" s="615">
        <f>SUM(D14:D26)</f>
        <v>5205.84</v>
      </c>
      <c r="E27" s="615">
        <f t="shared" si="6"/>
        <v>5439</v>
      </c>
      <c r="F27" s="615">
        <f t="shared" si="6"/>
        <v>5264</v>
      </c>
      <c r="G27" s="615">
        <f t="shared" si="6"/>
        <v>2515</v>
      </c>
      <c r="H27" s="615">
        <f t="shared" si="6"/>
        <v>-383763.52</v>
      </c>
      <c r="I27" s="738">
        <f t="shared" si="6"/>
        <v>32411</v>
      </c>
      <c r="J27" s="615">
        <f t="shared" si="6"/>
        <v>696</v>
      </c>
      <c r="K27" s="616">
        <f t="shared" si="6"/>
        <v>510</v>
      </c>
      <c r="L27" s="740">
        <f>SUM(L14:L26)</f>
        <v>14094.5</v>
      </c>
      <c r="M27" s="738">
        <f>SUM(M14:M26)</f>
        <v>21450</v>
      </c>
      <c r="N27" s="615">
        <v>3971</v>
      </c>
      <c r="O27" s="616">
        <f>SUM(O14:O26)</f>
        <v>8855</v>
      </c>
      <c r="P27" s="615">
        <f t="shared" si="6"/>
        <v>14586</v>
      </c>
      <c r="Q27" s="616">
        <f t="shared" si="6"/>
        <v>10997</v>
      </c>
      <c r="R27" s="615">
        <f t="shared" si="6"/>
        <v>8312</v>
      </c>
      <c r="S27" s="616">
        <f t="shared" si="6"/>
        <v>15769</v>
      </c>
      <c r="T27" s="740">
        <f t="shared" si="6"/>
        <v>3440</v>
      </c>
      <c r="U27" s="738">
        <f t="shared" si="6"/>
        <v>8845</v>
      </c>
      <c r="V27" s="615">
        <f t="shared" si="6"/>
        <v>2067</v>
      </c>
      <c r="W27" s="616">
        <f t="shared" si="6"/>
        <v>20690</v>
      </c>
      <c r="X27" s="740">
        <v>75815.7</v>
      </c>
      <c r="Y27" s="740">
        <v>120326</v>
      </c>
      <c r="Z27" s="615">
        <f>SUM(Z14:Z26)</f>
        <v>546.18000000000006</v>
      </c>
      <c r="AA27" s="615">
        <f>SUM(AA14:AA26)</f>
        <v>551</v>
      </c>
      <c r="AB27" s="615">
        <f>SUM(AB14:AB26)</f>
        <v>9332.3700000000008</v>
      </c>
      <c r="AC27" s="615">
        <f t="shared" si="6"/>
        <v>33017.230000000003</v>
      </c>
      <c r="AD27" s="615">
        <f t="shared" si="6"/>
        <v>764.48</v>
      </c>
      <c r="AE27" s="615">
        <f t="shared" si="6"/>
        <v>29426</v>
      </c>
      <c r="AF27" s="615">
        <f>SUM(AF14:AF26)</f>
        <v>14134.710000000001</v>
      </c>
      <c r="AG27" s="615">
        <f>SUM(AG14:AG26)</f>
        <v>8657</v>
      </c>
      <c r="AH27" s="615">
        <f t="shared" ref="AH27:AS27" si="7">SUM(AH14:AH25)</f>
        <v>5720</v>
      </c>
      <c r="AI27" s="685">
        <f t="shared" si="7"/>
        <v>19770</v>
      </c>
      <c r="AJ27" s="615">
        <f t="shared" si="7"/>
        <v>5305</v>
      </c>
      <c r="AK27" s="615">
        <f t="shared" si="7"/>
        <v>10545</v>
      </c>
      <c r="AL27" s="615">
        <f t="shared" si="7"/>
        <v>0</v>
      </c>
      <c r="AM27" s="685">
        <f t="shared" si="7"/>
        <v>0</v>
      </c>
      <c r="AN27" s="615">
        <f t="shared" si="7"/>
        <v>-188.68000000000006</v>
      </c>
      <c r="AO27" s="615">
        <f t="shared" si="7"/>
        <v>13459</v>
      </c>
      <c r="AP27" s="616">
        <f t="shared" si="7"/>
        <v>116.92</v>
      </c>
      <c r="AQ27" s="616">
        <f t="shared" si="7"/>
        <v>8850</v>
      </c>
      <c r="AR27" s="615">
        <f t="shared" si="7"/>
        <v>9291.07</v>
      </c>
      <c r="AS27" s="615">
        <f t="shared" si="7"/>
        <v>20556</v>
      </c>
      <c r="AT27" s="615">
        <v>16530.8</v>
      </c>
      <c r="AU27" s="615">
        <v>16735</v>
      </c>
      <c r="AV27" s="615">
        <f t="shared" ref="AV27:AW29" si="8">SUM(B27+D27+F27+H27+J27+L27+N27+P27+R27+T27+V27+X27+Z27+AB27+AD27+AF27+AH27+AJ27+AL27+AN27+AP27+AR27+AT27)</f>
        <v>-174099.93999999997</v>
      </c>
      <c r="AW27" s="615">
        <f t="shared" si="8"/>
        <v>426890.23</v>
      </c>
      <c r="AX27" s="615">
        <f>SUM(AX14:AX25)</f>
        <v>0</v>
      </c>
      <c r="AY27" s="615">
        <f>SUM(AY14:AY25)</f>
        <v>0</v>
      </c>
      <c r="AZ27" s="615">
        <f t="shared" ref="AZ27:BA29" si="9">AV27+AX27</f>
        <v>-174099.93999999997</v>
      </c>
      <c r="BA27" s="616"/>
    </row>
    <row r="28" spans="1:53" ht="28.5">
      <c r="A28" s="571" t="s">
        <v>128</v>
      </c>
      <c r="B28" s="39">
        <v>5136.63</v>
      </c>
      <c r="C28" s="701">
        <v>6723</v>
      </c>
      <c r="D28" s="12">
        <v>-4967.54</v>
      </c>
      <c r="E28" s="668">
        <v>-5229</v>
      </c>
      <c r="F28" s="12">
        <v>-3451</v>
      </c>
      <c r="G28" s="668">
        <v>-220</v>
      </c>
      <c r="H28" s="12">
        <v>28347.87</v>
      </c>
      <c r="I28" s="496">
        <v>18385</v>
      </c>
      <c r="J28" s="12">
        <v>-7271.08</v>
      </c>
      <c r="K28" s="340">
        <v>-17742</v>
      </c>
      <c r="L28" s="14">
        <v>-8258.86</v>
      </c>
      <c r="M28" s="668">
        <v>-17198</v>
      </c>
      <c r="N28" s="12">
        <v>9893.7000000000007</v>
      </c>
      <c r="O28" s="340">
        <v>-4393</v>
      </c>
      <c r="P28" s="12">
        <v>-13032</v>
      </c>
      <c r="Q28" s="340">
        <v>-10134</v>
      </c>
      <c r="R28" s="12">
        <v>-2649</v>
      </c>
      <c r="S28" s="15">
        <v>-11388</v>
      </c>
      <c r="T28" s="14">
        <v>-2383</v>
      </c>
      <c r="U28" s="668">
        <v>-8073</v>
      </c>
      <c r="V28" s="12">
        <v>77741</v>
      </c>
      <c r="W28" s="340">
        <v>58268</v>
      </c>
      <c r="X28" s="14">
        <v>63964.03</v>
      </c>
      <c r="Y28" s="695">
        <v>26034</v>
      </c>
      <c r="Z28" s="40">
        <v>1711</v>
      </c>
      <c r="AA28" s="693">
        <v>2170</v>
      </c>
      <c r="AB28" s="12">
        <v>-4752.53</v>
      </c>
      <c r="AC28" s="496">
        <v>-23991</v>
      </c>
      <c r="AD28" s="12">
        <v>11317.24</v>
      </c>
      <c r="AE28" s="668">
        <v>-16068</v>
      </c>
      <c r="AF28" s="12">
        <v>16520.900000000001</v>
      </c>
      <c r="AG28" s="496">
        <v>14764</v>
      </c>
      <c r="AH28" s="12">
        <v>3311</v>
      </c>
      <c r="AI28" s="668">
        <v>-10063</v>
      </c>
      <c r="AJ28" s="12">
        <v>-677</v>
      </c>
      <c r="AK28" s="668">
        <v>-4473</v>
      </c>
      <c r="AL28" s="687"/>
      <c r="AM28" s="668"/>
      <c r="AN28" s="212">
        <v>68724.69</v>
      </c>
      <c r="AO28" s="678">
        <v>48531</v>
      </c>
      <c r="AP28" s="681">
        <v>1567.94</v>
      </c>
      <c r="AQ28" s="267">
        <v>-4246</v>
      </c>
      <c r="AR28" s="165">
        <v>-1327.15</v>
      </c>
      <c r="AS28" s="496">
        <v>-7419</v>
      </c>
      <c r="AT28" s="12">
        <v>-6744</v>
      </c>
      <c r="AU28" s="668">
        <v>-5715</v>
      </c>
      <c r="AV28" s="8">
        <f t="shared" si="8"/>
        <v>232722.84</v>
      </c>
      <c r="AW28" s="8">
        <f t="shared" si="8"/>
        <v>28523</v>
      </c>
      <c r="AX28" s="165"/>
      <c r="AY28" s="17"/>
      <c r="AZ28" s="8">
        <f t="shared" si="9"/>
        <v>232722.84</v>
      </c>
      <c r="BA28" s="667">
        <f t="shared" si="9"/>
        <v>28523</v>
      </c>
    </row>
    <row r="29" spans="1:53">
      <c r="A29" s="571" t="s">
        <v>129</v>
      </c>
      <c r="B29" s="39">
        <v>974.09</v>
      </c>
      <c r="C29" s="701">
        <v>960</v>
      </c>
      <c r="D29" s="12"/>
      <c r="E29" s="668"/>
      <c r="F29" s="12"/>
      <c r="G29" s="668"/>
      <c r="H29" s="12"/>
      <c r="I29" s="496">
        <v>-422</v>
      </c>
      <c r="J29" s="12"/>
      <c r="K29" s="340"/>
      <c r="L29" s="14"/>
      <c r="M29" s="668"/>
      <c r="N29" s="12"/>
      <c r="O29" s="340"/>
      <c r="P29" s="12"/>
      <c r="Q29" s="340"/>
      <c r="R29" s="12"/>
      <c r="S29" s="15"/>
      <c r="T29" s="14"/>
      <c r="U29" s="668"/>
      <c r="V29" s="12">
        <v>23</v>
      </c>
      <c r="W29" s="340">
        <v>617</v>
      </c>
      <c r="X29" s="14"/>
      <c r="Y29" s="695"/>
      <c r="Z29" s="40">
        <v>249</v>
      </c>
      <c r="AA29" s="693">
        <v>316</v>
      </c>
      <c r="AB29" s="12"/>
      <c r="AC29" s="496"/>
      <c r="AD29" s="12"/>
      <c r="AE29" s="668"/>
      <c r="AF29" s="12">
        <v>-3199.24</v>
      </c>
      <c r="AG29" s="496">
        <v>1053</v>
      </c>
      <c r="AH29" s="12">
        <v>482</v>
      </c>
      <c r="AI29" s="668"/>
      <c r="AJ29" s="12"/>
      <c r="AK29" s="668"/>
      <c r="AL29" s="687"/>
      <c r="AM29" s="668"/>
      <c r="AN29" s="211"/>
      <c r="AO29" s="678"/>
      <c r="AP29" s="681"/>
      <c r="AQ29" s="267"/>
      <c r="AR29" s="165"/>
      <c r="AS29" s="496"/>
      <c r="AT29" s="12">
        <v>1052</v>
      </c>
      <c r="AU29" s="668">
        <v>1069</v>
      </c>
      <c r="AV29" s="8">
        <f t="shared" si="8"/>
        <v>-419.14999999999964</v>
      </c>
      <c r="AW29" s="8">
        <f t="shared" si="8"/>
        <v>3593</v>
      </c>
      <c r="AX29" s="165"/>
      <c r="AY29" s="17"/>
      <c r="AZ29" s="8">
        <f t="shared" si="9"/>
        <v>-419.14999999999964</v>
      </c>
      <c r="BA29" s="667">
        <f t="shared" si="9"/>
        <v>3593</v>
      </c>
    </row>
    <row r="30" spans="1:53" ht="28.5">
      <c r="A30" s="571" t="s">
        <v>245</v>
      </c>
      <c r="B30" s="39"/>
      <c r="C30" s="701"/>
      <c r="D30" s="12"/>
      <c r="E30" s="668"/>
      <c r="F30" s="12"/>
      <c r="G30" s="668"/>
      <c r="H30" s="12">
        <v>5573.14</v>
      </c>
      <c r="I30" s="496"/>
      <c r="J30" s="12"/>
      <c r="K30" s="340"/>
      <c r="L30" s="14"/>
      <c r="M30" s="668"/>
      <c r="N30" s="12">
        <v>-1286.18</v>
      </c>
      <c r="O30" s="340"/>
      <c r="P30" s="12"/>
      <c r="Q30" s="340"/>
      <c r="R30" s="12"/>
      <c r="S30" s="15"/>
      <c r="T30" s="14"/>
      <c r="U30" s="668"/>
      <c r="V30" s="12"/>
      <c r="W30" s="340"/>
      <c r="X30" s="14">
        <v>-5032.08</v>
      </c>
      <c r="Y30" s="695"/>
      <c r="Z30" s="40"/>
      <c r="AA30" s="693"/>
      <c r="AB30" s="12"/>
      <c r="AC30" s="496"/>
      <c r="AD30" s="12">
        <v>1738.55</v>
      </c>
      <c r="AE30" s="668">
        <v>1135</v>
      </c>
      <c r="AF30" s="12"/>
      <c r="AG30" s="496"/>
      <c r="AH30" s="12"/>
      <c r="AI30" s="668"/>
      <c r="AJ30" s="12"/>
      <c r="AK30" s="668"/>
      <c r="AL30" s="687"/>
      <c r="AM30" s="668"/>
      <c r="AN30" s="211"/>
      <c r="AO30" s="678"/>
      <c r="AP30" s="681">
        <v>239.2</v>
      </c>
      <c r="AQ30" s="267">
        <v>636</v>
      </c>
      <c r="AR30" s="165"/>
      <c r="AS30" s="496"/>
      <c r="AT30" s="12"/>
      <c r="AU30" s="668"/>
      <c r="AV30" s="8"/>
      <c r="AW30" s="8"/>
      <c r="AX30" s="165"/>
      <c r="AY30" s="17"/>
      <c r="AZ30" s="8"/>
      <c r="BA30" s="667"/>
    </row>
    <row r="31" spans="1:53" ht="28.5">
      <c r="A31" s="571" t="s">
        <v>130</v>
      </c>
      <c r="B31" s="39"/>
      <c r="C31" s="701"/>
      <c r="D31" s="12"/>
      <c r="E31" s="668"/>
      <c r="F31" s="12"/>
      <c r="G31" s="668"/>
      <c r="H31" s="12"/>
      <c r="I31" s="496"/>
      <c r="J31" s="12"/>
      <c r="K31" s="340"/>
      <c r="L31" s="14"/>
      <c r="M31" s="668"/>
      <c r="N31" s="12"/>
      <c r="O31" s="340">
        <v>570</v>
      </c>
      <c r="P31" s="12"/>
      <c r="Q31" s="340"/>
      <c r="R31" s="12">
        <v>-32</v>
      </c>
      <c r="S31" s="15"/>
      <c r="T31" s="14"/>
      <c r="U31" s="668"/>
      <c r="V31" s="12"/>
      <c r="W31" s="340"/>
      <c r="X31" s="14">
        <v>7</v>
      </c>
      <c r="Y31" s="695">
        <v>-1</v>
      </c>
      <c r="Z31" s="40"/>
      <c r="AA31" s="693"/>
      <c r="AB31" s="12"/>
      <c r="AC31" s="496"/>
      <c r="AD31" s="12"/>
      <c r="AE31" s="668"/>
      <c r="AF31" s="12"/>
      <c r="AG31" s="496"/>
      <c r="AH31" s="12"/>
      <c r="AI31" s="668"/>
      <c r="AJ31" s="12"/>
      <c r="AK31" s="668"/>
      <c r="AL31" s="687"/>
      <c r="AM31" s="668"/>
      <c r="AN31" s="211"/>
      <c r="AO31" s="678"/>
      <c r="AP31" s="681"/>
      <c r="AQ31" s="267"/>
      <c r="AR31" s="165"/>
      <c r="AS31" s="496"/>
      <c r="AT31" s="12"/>
      <c r="AU31" s="668"/>
      <c r="AV31" s="8">
        <f t="shared" ref="AV31:AV39" si="10">SUM(B31+D31+F31+H31+J31+L31+N31+P31+R31+T31+V31+X31+Z31+AB31+AD31+AF31+AH31+AJ31+AL31+AN31+AP31+AR31+AT31)</f>
        <v>-25</v>
      </c>
      <c r="AW31" s="8">
        <f t="shared" ref="AW31:AW39" si="11">SUM(C31+E31+G31+I31+K31+M31+O31+Q31+S31+U31+W31+Y31+AA31+AC31+AE31+AG31+AI31+AK31+AM31+AO31+AQ31+AS31+AU31)</f>
        <v>569</v>
      </c>
      <c r="AX31" s="165"/>
      <c r="AY31" s="17"/>
      <c r="AZ31" s="8">
        <f t="shared" ref="AZ31:AZ39" si="12">AV31+AX31</f>
        <v>-25</v>
      </c>
      <c r="BA31" s="667">
        <f t="shared" ref="BA31:BA39" si="13">AW31+AY31</f>
        <v>569</v>
      </c>
    </row>
    <row r="32" spans="1:53">
      <c r="A32" s="571" t="s">
        <v>131</v>
      </c>
      <c r="B32" s="12"/>
      <c r="C32" s="701"/>
      <c r="D32" s="12"/>
      <c r="E32" s="668"/>
      <c r="F32" s="12"/>
      <c r="G32" s="668"/>
      <c r="H32" s="12"/>
      <c r="I32" s="496"/>
      <c r="J32" s="12"/>
      <c r="K32" s="340"/>
      <c r="L32" s="14"/>
      <c r="M32" s="668"/>
      <c r="N32" s="12"/>
      <c r="O32" s="340"/>
      <c r="P32" s="12"/>
      <c r="Q32" s="340"/>
      <c r="R32" s="12"/>
      <c r="S32" s="15"/>
      <c r="T32" s="14"/>
      <c r="U32" s="668"/>
      <c r="V32" s="12"/>
      <c r="W32" s="340"/>
      <c r="X32" s="14"/>
      <c r="Y32" s="695"/>
      <c r="Z32" s="40"/>
      <c r="AA32" s="693"/>
      <c r="AB32" s="12"/>
      <c r="AC32" s="496"/>
      <c r="AD32" s="12"/>
      <c r="AE32" s="668"/>
      <c r="AF32" s="12"/>
      <c r="AG32" s="496"/>
      <c r="AH32" s="12"/>
      <c r="AI32" s="668"/>
      <c r="AJ32" s="12"/>
      <c r="AK32" s="668"/>
      <c r="AL32" s="687"/>
      <c r="AM32" s="668"/>
      <c r="AN32" s="212">
        <v>-337.2</v>
      </c>
      <c r="AO32" s="678">
        <v>1553</v>
      </c>
      <c r="AP32" s="681"/>
      <c r="AQ32" s="267"/>
      <c r="AR32" s="165"/>
      <c r="AS32" s="496"/>
      <c r="AT32" s="12"/>
      <c r="AU32" s="668"/>
      <c r="AV32" s="8">
        <f t="shared" si="10"/>
        <v>-337.2</v>
      </c>
      <c r="AW32" s="8">
        <f t="shared" si="11"/>
        <v>1553</v>
      </c>
      <c r="AX32" s="165"/>
      <c r="AY32" s="17"/>
      <c r="AZ32" s="8">
        <f t="shared" si="12"/>
        <v>-337.2</v>
      </c>
      <c r="BA32" s="667">
        <f t="shared" si="13"/>
        <v>1553</v>
      </c>
    </row>
    <row r="33" spans="1:53">
      <c r="A33" s="571" t="s">
        <v>132</v>
      </c>
      <c r="B33" s="39">
        <v>4162.54</v>
      </c>
      <c r="C33" s="701">
        <v>5763</v>
      </c>
      <c r="D33" s="12">
        <v>-4967.54</v>
      </c>
      <c r="E33" s="668">
        <v>-5229</v>
      </c>
      <c r="F33" s="12">
        <v>-3451</v>
      </c>
      <c r="G33" s="668">
        <v>-220</v>
      </c>
      <c r="H33" s="12">
        <v>22774.73</v>
      </c>
      <c r="I33" s="496">
        <v>18807</v>
      </c>
      <c r="J33" s="12">
        <f>J28</f>
        <v>-7271.08</v>
      </c>
      <c r="K33" s="340">
        <v>-17742</v>
      </c>
      <c r="L33" s="14">
        <v>-8258.86</v>
      </c>
      <c r="M33" s="668">
        <v>-17198</v>
      </c>
      <c r="N33" s="12">
        <v>8607.52</v>
      </c>
      <c r="O33" s="340">
        <v>-3823</v>
      </c>
      <c r="P33" s="12">
        <v>-13032</v>
      </c>
      <c r="Q33" s="340">
        <v>-10134</v>
      </c>
      <c r="R33" s="12">
        <v>-2681</v>
      </c>
      <c r="S33" s="15">
        <v>-11388</v>
      </c>
      <c r="T33" s="14">
        <f>T28</f>
        <v>-2383</v>
      </c>
      <c r="U33" s="668">
        <v>-8073</v>
      </c>
      <c r="V33" s="12">
        <v>77718</v>
      </c>
      <c r="W33" s="340">
        <v>57651</v>
      </c>
      <c r="X33" s="14">
        <v>5893202</v>
      </c>
      <c r="Y33" s="695">
        <v>26033</v>
      </c>
      <c r="Z33" s="40">
        <v>1462</v>
      </c>
      <c r="AA33" s="693">
        <v>1854</v>
      </c>
      <c r="AB33" s="12">
        <v>-4752.53</v>
      </c>
      <c r="AC33" s="496">
        <v>-23991</v>
      </c>
      <c r="AD33" s="12">
        <v>9578.69</v>
      </c>
      <c r="AE33" s="668">
        <v>-17203</v>
      </c>
      <c r="AF33" s="12">
        <v>19720.14</v>
      </c>
      <c r="AG33" s="496">
        <v>13711</v>
      </c>
      <c r="AH33" s="12">
        <v>2829</v>
      </c>
      <c r="AI33" s="668">
        <v>-10063</v>
      </c>
      <c r="AJ33" s="12">
        <v>-677</v>
      </c>
      <c r="AK33" s="668">
        <v>-4473</v>
      </c>
      <c r="AL33" s="687"/>
      <c r="AM33" s="668"/>
      <c r="AN33" s="212">
        <v>69061.89</v>
      </c>
      <c r="AO33" s="678">
        <v>46978</v>
      </c>
      <c r="AP33" s="681">
        <v>1328.74</v>
      </c>
      <c r="AQ33" s="267">
        <v>-4883</v>
      </c>
      <c r="AR33" s="165">
        <v>-1327.15</v>
      </c>
      <c r="AS33" s="496">
        <v>-7419</v>
      </c>
      <c r="AT33" s="12">
        <v>-7796</v>
      </c>
      <c r="AU33" s="668">
        <v>-6784</v>
      </c>
      <c r="AV33" s="8">
        <f t="shared" si="10"/>
        <v>6053848.0899999989</v>
      </c>
      <c r="AW33" s="8">
        <f t="shared" si="11"/>
        <v>22174</v>
      </c>
      <c r="AX33" s="165"/>
      <c r="AY33" s="17"/>
      <c r="AZ33" s="8">
        <f t="shared" si="12"/>
        <v>6053848.0899999989</v>
      </c>
      <c r="BA33" s="667">
        <f t="shared" si="13"/>
        <v>22174</v>
      </c>
    </row>
    <row r="34" spans="1:53">
      <c r="A34" s="572" t="s">
        <v>133</v>
      </c>
      <c r="B34" s="8"/>
      <c r="C34" s="701"/>
      <c r="D34" s="20"/>
      <c r="E34" s="668"/>
      <c r="F34" s="20"/>
      <c r="G34" s="668"/>
      <c r="H34" s="20"/>
      <c r="I34" s="496"/>
      <c r="J34" s="20"/>
      <c r="K34" s="340"/>
      <c r="L34" s="22"/>
      <c r="M34" s="668"/>
      <c r="N34" s="20"/>
      <c r="O34" s="340"/>
      <c r="P34" s="227"/>
      <c r="Q34" s="340"/>
      <c r="R34" s="20"/>
      <c r="S34" s="15"/>
      <c r="T34" s="22"/>
      <c r="U34" s="668"/>
      <c r="V34" s="20"/>
      <c r="W34" s="340"/>
      <c r="X34" s="22"/>
      <c r="Y34" s="695"/>
      <c r="Z34" s="40"/>
      <c r="AA34" s="693"/>
      <c r="AB34" s="20"/>
      <c r="AC34" s="496"/>
      <c r="AD34" s="691"/>
      <c r="AE34" s="668"/>
      <c r="AF34" s="20"/>
      <c r="AG34" s="496"/>
      <c r="AH34" s="20"/>
      <c r="AI34" s="583"/>
      <c r="AJ34" s="20"/>
      <c r="AK34" s="668"/>
      <c r="AL34" s="687"/>
      <c r="AM34" s="668"/>
      <c r="AN34" s="211"/>
      <c r="AO34" s="678"/>
      <c r="AP34" s="681"/>
      <c r="AQ34" s="267"/>
      <c r="AR34" s="165"/>
      <c r="AS34" s="496"/>
      <c r="AT34" s="20"/>
      <c r="AU34" s="668"/>
      <c r="AV34" s="8">
        <f t="shared" si="10"/>
        <v>0</v>
      </c>
      <c r="AW34" s="8">
        <f t="shared" si="11"/>
        <v>0</v>
      </c>
      <c r="AX34" s="20"/>
      <c r="AY34" s="17"/>
      <c r="AZ34" s="8">
        <f t="shared" si="12"/>
        <v>0</v>
      </c>
      <c r="BA34" s="667">
        <f t="shared" si="13"/>
        <v>0</v>
      </c>
    </row>
    <row r="35" spans="1:53" ht="28.5">
      <c r="A35" s="571" t="s">
        <v>134</v>
      </c>
      <c r="B35" s="39">
        <v>-853.38</v>
      </c>
      <c r="C35" s="701">
        <v>8293</v>
      </c>
      <c r="D35" s="12">
        <v>-61552.09</v>
      </c>
      <c r="E35" s="668">
        <v>-70411</v>
      </c>
      <c r="F35" s="12">
        <v>-134667</v>
      </c>
      <c r="G35" s="668">
        <v>-138941</v>
      </c>
      <c r="H35" s="12">
        <v>866176.68</v>
      </c>
      <c r="I35" s="496">
        <v>907624</v>
      </c>
      <c r="J35" s="12">
        <v>-270755.18</v>
      </c>
      <c r="K35" s="340">
        <v>-286150</v>
      </c>
      <c r="L35" s="14">
        <v>11050.83</v>
      </c>
      <c r="M35" s="668">
        <v>20513</v>
      </c>
      <c r="N35" s="12">
        <v>-29730.27</v>
      </c>
      <c r="O35" s="340">
        <v>-20451</v>
      </c>
      <c r="P35" s="20">
        <v>-139330</v>
      </c>
      <c r="Q35" s="340">
        <v>-162899</v>
      </c>
      <c r="R35" s="12">
        <v>-69759</v>
      </c>
      <c r="S35" s="15">
        <v>-64297</v>
      </c>
      <c r="T35" s="14">
        <v>-181885</v>
      </c>
      <c r="U35" s="668">
        <v>-197717</v>
      </c>
      <c r="V35" s="12">
        <v>456929</v>
      </c>
      <c r="W35" s="340">
        <v>592940</v>
      </c>
      <c r="X35" s="14">
        <v>264447</v>
      </c>
      <c r="Y35" s="695">
        <v>360062</v>
      </c>
      <c r="Z35" s="165">
        <v>11916</v>
      </c>
      <c r="AA35" s="693">
        <v>23861</v>
      </c>
      <c r="AB35" s="12">
        <v>-19928.439999999999</v>
      </c>
      <c r="AC35" s="496">
        <v>-16909.39</v>
      </c>
      <c r="AD35" s="12">
        <v>279121.33</v>
      </c>
      <c r="AE35" s="668">
        <v>348314</v>
      </c>
      <c r="AF35" s="12">
        <v>51829.19</v>
      </c>
      <c r="AG35" s="496">
        <v>84173</v>
      </c>
      <c r="AH35" s="12">
        <v>-70176</v>
      </c>
      <c r="AI35" s="668">
        <v>-60067</v>
      </c>
      <c r="AJ35" s="12">
        <v>-19735</v>
      </c>
      <c r="AK35" s="668">
        <v>-14707</v>
      </c>
      <c r="AL35" s="687"/>
      <c r="AM35" s="668"/>
      <c r="AN35" s="212">
        <v>788232.69</v>
      </c>
      <c r="AO35" s="678">
        <v>908816</v>
      </c>
      <c r="AP35" s="681">
        <v>47044.49</v>
      </c>
      <c r="AQ35" s="267">
        <v>54668</v>
      </c>
      <c r="AR35" s="165">
        <v>12796.91</v>
      </c>
      <c r="AS35" s="496">
        <v>19342</v>
      </c>
      <c r="AT35" s="12">
        <v>13417</v>
      </c>
      <c r="AU35" s="668">
        <v>18127</v>
      </c>
      <c r="AV35" s="8">
        <f t="shared" si="10"/>
        <v>1804589.76</v>
      </c>
      <c r="AW35" s="8">
        <f t="shared" si="11"/>
        <v>2314183.61</v>
      </c>
      <c r="AX35" s="12"/>
      <c r="AY35" s="17"/>
      <c r="AZ35" s="8">
        <f t="shared" si="12"/>
        <v>1804589.76</v>
      </c>
      <c r="BA35" s="667">
        <f t="shared" si="13"/>
        <v>2314183.61</v>
      </c>
    </row>
    <row r="36" spans="1:53" ht="28.5">
      <c r="A36" s="571" t="s">
        <v>135</v>
      </c>
      <c r="B36" s="39"/>
      <c r="C36" s="701"/>
      <c r="D36" s="12"/>
      <c r="E36" s="668"/>
      <c r="F36" s="12"/>
      <c r="G36" s="668"/>
      <c r="H36" s="12"/>
      <c r="I36" s="496"/>
      <c r="J36" s="12"/>
      <c r="K36" s="340"/>
      <c r="L36" s="14"/>
      <c r="M36" s="668"/>
      <c r="N36" s="12"/>
      <c r="O36" s="340"/>
      <c r="P36" s="12"/>
      <c r="Q36" s="340"/>
      <c r="R36" s="12"/>
      <c r="S36" s="15"/>
      <c r="T36" s="14"/>
      <c r="U36" s="668"/>
      <c r="V36" s="12"/>
      <c r="W36" s="340"/>
      <c r="X36" s="14"/>
      <c r="Y36" s="695"/>
      <c r="Z36" s="165"/>
      <c r="AA36" s="693"/>
      <c r="AB36" s="12"/>
      <c r="AC36" s="496"/>
      <c r="AD36" s="12"/>
      <c r="AE36" s="668"/>
      <c r="AF36" s="12"/>
      <c r="AG36" s="496"/>
      <c r="AH36" s="12"/>
      <c r="AI36" s="668"/>
      <c r="AJ36" s="12"/>
      <c r="AK36" s="668"/>
      <c r="AL36" s="687"/>
      <c r="AM36" s="668"/>
      <c r="AN36" s="213"/>
      <c r="AO36" s="678"/>
      <c r="AP36" s="681"/>
      <c r="AQ36" s="267">
        <v>4430</v>
      </c>
      <c r="AR36" s="165"/>
      <c r="AS36" s="496"/>
      <c r="AT36" s="12"/>
      <c r="AU36" s="668"/>
      <c r="AV36" s="8">
        <f t="shared" si="10"/>
        <v>0</v>
      </c>
      <c r="AW36" s="8">
        <f t="shared" si="11"/>
        <v>4430</v>
      </c>
      <c r="AX36" s="12"/>
      <c r="AY36" s="17"/>
      <c r="AZ36" s="8">
        <f t="shared" si="12"/>
        <v>0</v>
      </c>
      <c r="BA36" s="667">
        <f t="shared" si="13"/>
        <v>4430</v>
      </c>
    </row>
    <row r="37" spans="1:53" ht="28.5">
      <c r="A37" s="573" t="s">
        <v>136</v>
      </c>
      <c r="B37" s="39"/>
      <c r="C37" s="163"/>
      <c r="D37" s="12"/>
      <c r="E37" s="668"/>
      <c r="F37" s="12"/>
      <c r="G37" s="668"/>
      <c r="H37" s="12"/>
      <c r="I37" s="496"/>
      <c r="J37" s="12"/>
      <c r="K37" s="340"/>
      <c r="L37" s="14"/>
      <c r="M37" s="668"/>
      <c r="N37" s="12"/>
      <c r="O37" s="340"/>
      <c r="P37" s="12"/>
      <c r="Q37" s="340"/>
      <c r="R37" s="12"/>
      <c r="S37" s="15"/>
      <c r="T37" s="14"/>
      <c r="U37" s="668"/>
      <c r="V37" s="12"/>
      <c r="W37" s="340">
        <v>-40847</v>
      </c>
      <c r="X37" s="14"/>
      <c r="Y37" s="695">
        <v>28731</v>
      </c>
      <c r="Z37" s="165"/>
      <c r="AA37" s="693">
        <v>-10400</v>
      </c>
      <c r="AB37" s="12"/>
      <c r="AC37" s="496"/>
      <c r="AD37" s="12"/>
      <c r="AE37" s="668">
        <v>8165</v>
      </c>
      <c r="AF37" s="12"/>
      <c r="AG37" s="496">
        <v>17653</v>
      </c>
      <c r="AH37" s="12"/>
      <c r="AI37" s="668"/>
      <c r="AJ37" s="12"/>
      <c r="AK37" s="668"/>
      <c r="AL37" s="687"/>
      <c r="AM37" s="668"/>
      <c r="AN37" s="213"/>
      <c r="AO37" s="678"/>
      <c r="AP37" s="681"/>
      <c r="AQ37" s="267"/>
      <c r="AR37" s="165"/>
      <c r="AS37" s="496">
        <v>984</v>
      </c>
      <c r="AT37" s="12"/>
      <c r="AU37" s="668"/>
      <c r="AV37" s="8">
        <f t="shared" si="10"/>
        <v>0</v>
      </c>
      <c r="AW37" s="8">
        <f t="shared" si="11"/>
        <v>4286</v>
      </c>
      <c r="AX37" s="12"/>
      <c r="AY37" s="17"/>
      <c r="AZ37" s="8">
        <f t="shared" si="12"/>
        <v>0</v>
      </c>
      <c r="BA37" s="667">
        <f t="shared" si="13"/>
        <v>4286</v>
      </c>
    </row>
    <row r="38" spans="1:53" ht="28.5">
      <c r="A38" s="571" t="s">
        <v>137</v>
      </c>
      <c r="B38" s="39"/>
      <c r="C38" s="163"/>
      <c r="D38" s="12"/>
      <c r="E38" s="668"/>
      <c r="F38" s="12"/>
      <c r="G38" s="668"/>
      <c r="H38" s="12"/>
      <c r="I38" s="496"/>
      <c r="J38" s="12"/>
      <c r="K38" s="340"/>
      <c r="L38" s="14"/>
      <c r="M38" s="668"/>
      <c r="N38" s="12"/>
      <c r="O38" s="340"/>
      <c r="P38" s="12"/>
      <c r="Q38" s="340"/>
      <c r="R38" s="12"/>
      <c r="S38" s="15"/>
      <c r="T38" s="14"/>
      <c r="U38" s="668"/>
      <c r="V38" s="12"/>
      <c r="W38" s="340"/>
      <c r="X38" s="14"/>
      <c r="Y38" s="695"/>
      <c r="Z38" s="165"/>
      <c r="AA38" s="693"/>
      <c r="AB38" s="12"/>
      <c r="AC38" s="496"/>
      <c r="AD38" s="12"/>
      <c r="AE38" s="668"/>
      <c r="AF38" s="12"/>
      <c r="AG38" s="496"/>
      <c r="AH38" s="12"/>
      <c r="AI38" s="668"/>
      <c r="AJ38" s="12"/>
      <c r="AK38" s="668"/>
      <c r="AL38" s="687"/>
      <c r="AM38" s="668"/>
      <c r="AN38" s="213"/>
      <c r="AO38" s="678"/>
      <c r="AP38" s="681"/>
      <c r="AQ38" s="267"/>
      <c r="AR38" s="165"/>
      <c r="AS38" s="496"/>
      <c r="AT38" s="12"/>
      <c r="AU38" s="668"/>
      <c r="AV38" s="8">
        <f t="shared" si="10"/>
        <v>0</v>
      </c>
      <c r="AW38" s="8">
        <f t="shared" si="11"/>
        <v>0</v>
      </c>
      <c r="AX38" s="12"/>
      <c r="AY38" s="17"/>
      <c r="AZ38" s="8">
        <f t="shared" si="12"/>
        <v>0</v>
      </c>
      <c r="BA38" s="667">
        <f t="shared" si="13"/>
        <v>0</v>
      </c>
    </row>
    <row r="39" spans="1:53" ht="28.5">
      <c r="A39" s="571" t="s">
        <v>138</v>
      </c>
      <c r="B39" s="8"/>
      <c r="C39" s="701">
        <v>1950</v>
      </c>
      <c r="D39" s="20"/>
      <c r="E39" s="668"/>
      <c r="F39" s="20"/>
      <c r="G39" s="668"/>
      <c r="H39" s="20"/>
      <c r="I39" s="496"/>
      <c r="J39" s="20">
        <v>4.49</v>
      </c>
      <c r="K39" s="340">
        <v>9</v>
      </c>
      <c r="L39" s="22"/>
      <c r="M39" s="668"/>
      <c r="N39" s="20"/>
      <c r="O39" s="340"/>
      <c r="P39" s="20"/>
      <c r="Q39" s="340"/>
      <c r="R39" s="20"/>
      <c r="S39" s="15"/>
      <c r="T39" s="22"/>
      <c r="U39" s="668"/>
      <c r="V39" s="20"/>
      <c r="W39" s="340"/>
      <c r="X39" s="22"/>
      <c r="Y39" s="695"/>
      <c r="Z39" s="40"/>
      <c r="AA39" s="693"/>
      <c r="AB39" s="20"/>
      <c r="AC39" s="496"/>
      <c r="AD39" s="691"/>
      <c r="AE39" s="668"/>
      <c r="AF39" s="20"/>
      <c r="AG39" s="496">
        <v>992</v>
      </c>
      <c r="AH39" s="20"/>
      <c r="AI39" s="689"/>
      <c r="AJ39" s="20"/>
      <c r="AK39" s="668"/>
      <c r="AL39" s="687"/>
      <c r="AM39" s="668"/>
      <c r="AN39" s="213"/>
      <c r="AO39" s="678"/>
      <c r="AP39" s="681"/>
      <c r="AQ39" s="267"/>
      <c r="AR39" s="165"/>
      <c r="AS39" s="496"/>
      <c r="AT39" s="20"/>
      <c r="AU39" s="668"/>
      <c r="AV39" s="8">
        <f t="shared" si="10"/>
        <v>4.49</v>
      </c>
      <c r="AW39" s="8">
        <f t="shared" si="11"/>
        <v>2951</v>
      </c>
      <c r="AX39" s="20"/>
      <c r="AY39" s="17"/>
      <c r="AZ39" s="8">
        <f t="shared" si="12"/>
        <v>4.49</v>
      </c>
      <c r="BA39" s="667">
        <f t="shared" si="13"/>
        <v>2951</v>
      </c>
    </row>
    <row r="40" spans="1:53" ht="28.5">
      <c r="A40" s="574" t="s">
        <v>239</v>
      </c>
      <c r="B40" s="8"/>
      <c r="C40" s="701"/>
      <c r="D40" s="469"/>
      <c r="E40" s="668"/>
      <c r="F40" s="469"/>
      <c r="G40" s="668"/>
      <c r="H40" s="469"/>
      <c r="I40" s="496"/>
      <c r="J40" s="469"/>
      <c r="K40" s="340"/>
      <c r="L40" s="465"/>
      <c r="M40" s="668"/>
      <c r="N40" s="469"/>
      <c r="O40" s="340"/>
      <c r="P40" s="469"/>
      <c r="Q40" s="340"/>
      <c r="R40" s="469"/>
      <c r="S40" s="15"/>
      <c r="T40" s="465"/>
      <c r="U40" s="668"/>
      <c r="V40" s="469"/>
      <c r="W40" s="340"/>
      <c r="X40" s="465"/>
      <c r="Y40" s="695"/>
      <c r="Z40" s="697"/>
      <c r="AA40" s="693"/>
      <c r="AB40" s="469"/>
      <c r="AC40" s="496"/>
      <c r="AD40" s="692"/>
      <c r="AE40" s="668"/>
      <c r="AF40" s="469"/>
      <c r="AG40" s="496"/>
      <c r="AH40" s="469"/>
      <c r="AI40" s="690"/>
      <c r="AJ40" s="469"/>
      <c r="AK40" s="668"/>
      <c r="AL40" s="688"/>
      <c r="AM40" s="668"/>
      <c r="AN40" s="467"/>
      <c r="AO40" s="678"/>
      <c r="AP40" s="242"/>
      <c r="AQ40" s="267"/>
      <c r="AR40" s="450"/>
      <c r="AS40" s="496"/>
      <c r="AT40" s="469"/>
      <c r="AU40" s="668"/>
      <c r="AV40" s="463"/>
      <c r="AW40" s="463"/>
      <c r="AX40" s="469"/>
      <c r="AY40" s="17"/>
      <c r="AZ40" s="463"/>
      <c r="BA40" s="464"/>
    </row>
    <row r="41" spans="1:53" s="613" customFormat="1" ht="27.75" thickBot="1">
      <c r="A41" s="607" t="s">
        <v>139</v>
      </c>
      <c r="B41" s="608">
        <f t="shared" ref="B41:G41" si="14">B33+B35</f>
        <v>3309.16</v>
      </c>
      <c r="C41" s="702">
        <v>12106</v>
      </c>
      <c r="D41" s="611">
        <f t="shared" si="14"/>
        <v>-66519.62999999999</v>
      </c>
      <c r="E41" s="669">
        <f>E35+E33</f>
        <v>-75640</v>
      </c>
      <c r="F41" s="611">
        <f t="shared" si="14"/>
        <v>-138118</v>
      </c>
      <c r="G41" s="611">
        <f t="shared" si="14"/>
        <v>-139161</v>
      </c>
      <c r="H41" s="676">
        <v>888951.41</v>
      </c>
      <c r="I41" s="744">
        <v>926431</v>
      </c>
      <c r="J41" s="611">
        <v>-278021.78000000003</v>
      </c>
      <c r="K41" s="676">
        <f>K33+K35</f>
        <v>-303892</v>
      </c>
      <c r="L41" s="741">
        <f>L33+L35</f>
        <v>2791.9699999999993</v>
      </c>
      <c r="M41" s="744">
        <f>M33+M35</f>
        <v>3315</v>
      </c>
      <c r="N41" s="611">
        <f>N33+N35</f>
        <v>-21122.75</v>
      </c>
      <c r="O41" s="745">
        <v>-24274</v>
      </c>
      <c r="P41" s="611">
        <f t="shared" ref="P41:V41" si="15">P33+P35</f>
        <v>-152362</v>
      </c>
      <c r="Q41" s="676">
        <f t="shared" si="15"/>
        <v>-173033</v>
      </c>
      <c r="R41" s="611">
        <f t="shared" si="15"/>
        <v>-72440</v>
      </c>
      <c r="S41" s="676">
        <f t="shared" si="15"/>
        <v>-75685</v>
      </c>
      <c r="T41" s="741">
        <v>-184268</v>
      </c>
      <c r="U41" s="744">
        <f t="shared" si="15"/>
        <v>-205790</v>
      </c>
      <c r="V41" s="676">
        <f t="shared" si="15"/>
        <v>534647</v>
      </c>
      <c r="W41" s="676">
        <f>W33+W35+W37</f>
        <v>609744</v>
      </c>
      <c r="X41" s="893">
        <v>323378.88</v>
      </c>
      <c r="Y41" s="676">
        <v>357364</v>
      </c>
      <c r="Z41" s="676">
        <f>Z33+Z35</f>
        <v>13378</v>
      </c>
      <c r="AA41" s="676">
        <f>SUM(AA33:AA40)</f>
        <v>15315</v>
      </c>
      <c r="AB41" s="676">
        <v>-24680.97</v>
      </c>
      <c r="AC41" s="676">
        <f>SUM(AC33:AC40)</f>
        <v>-40900.39</v>
      </c>
      <c r="AD41" s="676">
        <f t="shared" ref="AD41:AK41" si="16">AD33+AD35</f>
        <v>288700.02</v>
      </c>
      <c r="AE41" s="676">
        <v>322947</v>
      </c>
      <c r="AF41" s="676">
        <f t="shared" si="16"/>
        <v>71549.33</v>
      </c>
      <c r="AG41" s="676">
        <v>79239</v>
      </c>
      <c r="AH41" s="676">
        <v>-67347</v>
      </c>
      <c r="AI41" s="676">
        <v>-70130</v>
      </c>
      <c r="AJ41" s="676">
        <f t="shared" si="16"/>
        <v>-20412</v>
      </c>
      <c r="AK41" s="676">
        <f t="shared" si="16"/>
        <v>-19180</v>
      </c>
      <c r="AL41" s="611">
        <f>AL33+AL35</f>
        <v>0</v>
      </c>
      <c r="AM41" s="686">
        <f>AM33+AM35</f>
        <v>0</v>
      </c>
      <c r="AN41" s="676">
        <f>AN33+AN35</f>
        <v>857294.58</v>
      </c>
      <c r="AO41" s="676">
        <f>AO33+AO35</f>
        <v>955794</v>
      </c>
      <c r="AP41" s="682">
        <v>48373.23</v>
      </c>
      <c r="AQ41" s="674">
        <v>45353</v>
      </c>
      <c r="AR41" s="676">
        <v>11469.76</v>
      </c>
      <c r="AS41" s="671">
        <v>10938</v>
      </c>
      <c r="AT41" s="611">
        <v>5621</v>
      </c>
      <c r="AU41" s="669">
        <v>11343</v>
      </c>
      <c r="AV41" s="610">
        <f>SUM(B41+D41+F41+H41+J41+L41+N41+P41+R41+T41+V41+X41+Z41+AB41+AD41+AF41+AH41+AJ41+AL41+AN41+AP41+AR41+AT41)</f>
        <v>2024172.2100000002</v>
      </c>
      <c r="AW41" s="610">
        <f>SUM(C41+E41+G41+I41+K41+M41+O41+Q41+S41+U41+W41+Y41+AA41+AC41+AE41+AG41+AI41+AK41+AM41+AO41+AQ41+AS41+AU41)</f>
        <v>2222203.61</v>
      </c>
      <c r="AX41" s="611"/>
      <c r="AY41" s="612">
        <f>AX41</f>
        <v>0</v>
      </c>
      <c r="AZ41" s="611">
        <f>AZ33+AZ35</f>
        <v>7858437.8499999987</v>
      </c>
      <c r="BA41" s="609">
        <f>BA33+BA35</f>
        <v>2336357.61</v>
      </c>
    </row>
    <row r="42" spans="1:53" s="38" customFormat="1" ht="28.5">
      <c r="A42" s="229" t="s">
        <v>140</v>
      </c>
      <c r="B42" s="575"/>
      <c r="C42" s="575"/>
      <c r="D42" s="232"/>
      <c r="E42" s="670"/>
      <c r="F42" s="232"/>
      <c r="G42" s="696"/>
      <c r="H42" s="232"/>
      <c r="I42" s="670"/>
      <c r="J42" s="232"/>
      <c r="K42" s="218"/>
      <c r="L42" s="230"/>
      <c r="M42" s="670"/>
      <c r="N42" s="232"/>
      <c r="O42" s="218"/>
      <c r="P42" s="700"/>
      <c r="Q42" s="743"/>
      <c r="R42" s="232"/>
      <c r="S42" s="218"/>
      <c r="T42" s="230"/>
      <c r="U42" s="670"/>
      <c r="V42" s="232"/>
      <c r="W42" s="218"/>
      <c r="X42" s="230"/>
      <c r="Y42" s="696"/>
      <c r="Z42" s="698"/>
      <c r="AA42" s="694"/>
      <c r="AB42" s="232"/>
      <c r="AC42" s="670"/>
      <c r="AD42" s="232"/>
      <c r="AE42" s="670"/>
      <c r="AF42" s="232"/>
      <c r="AG42" s="670"/>
      <c r="AH42" s="232"/>
      <c r="AI42" s="670"/>
      <c r="AJ42" s="232"/>
      <c r="AK42" s="670"/>
      <c r="AL42" s="239"/>
      <c r="AM42" s="670"/>
      <c r="AN42" s="231"/>
      <c r="AO42" s="679"/>
      <c r="AP42" s="683"/>
      <c r="AQ42" s="675"/>
      <c r="AR42" s="677"/>
      <c r="AS42" s="672"/>
      <c r="AT42" s="232"/>
      <c r="AU42" s="670"/>
      <c r="AV42" s="215"/>
      <c r="AW42" s="216"/>
      <c r="AX42" s="232"/>
      <c r="AY42" s="217"/>
      <c r="AZ42" s="215"/>
      <c r="BA42" s="218"/>
    </row>
    <row r="43" spans="1:53" ht="28.5">
      <c r="A43" s="210" t="s">
        <v>141</v>
      </c>
      <c r="B43" s="39"/>
      <c r="C43" s="164"/>
      <c r="D43" s="12"/>
      <c r="E43" s="668"/>
      <c r="F43" s="12"/>
      <c r="G43" s="668"/>
      <c r="H43" s="12"/>
      <c r="I43" s="668"/>
      <c r="J43" s="12"/>
      <c r="K43" s="15"/>
      <c r="L43" s="14"/>
      <c r="M43" s="668"/>
      <c r="N43" s="12"/>
      <c r="O43" s="15"/>
      <c r="P43" s="12"/>
      <c r="Q43" s="15"/>
      <c r="R43" s="12"/>
      <c r="S43" s="15"/>
      <c r="T43" s="14"/>
      <c r="U43" s="668"/>
      <c r="V43" s="12"/>
      <c r="W43" s="15"/>
      <c r="X43" s="14"/>
      <c r="Y43" s="668"/>
      <c r="Z43" s="40"/>
      <c r="AA43" s="693"/>
      <c r="AB43" s="12"/>
      <c r="AC43" s="668"/>
      <c r="AD43" s="12"/>
      <c r="AE43" s="668"/>
      <c r="AF43" s="12"/>
      <c r="AG43" s="668"/>
      <c r="AH43" s="12"/>
      <c r="AI43" s="668"/>
      <c r="AJ43" s="12"/>
      <c r="AK43" s="668"/>
      <c r="AL43" s="687"/>
      <c r="AM43" s="668"/>
      <c r="AN43" s="211"/>
      <c r="AO43" s="680"/>
      <c r="AP43" s="681"/>
      <c r="AQ43" s="267"/>
      <c r="AR43" s="227"/>
      <c r="AS43" s="214"/>
      <c r="AT43" s="12"/>
      <c r="AU43" s="668"/>
      <c r="AV43" s="20"/>
      <c r="AW43" s="19"/>
      <c r="AX43" s="12"/>
      <c r="AY43" s="11"/>
      <c r="AZ43" s="20"/>
      <c r="BA43" s="15"/>
    </row>
    <row r="44" spans="1:53" s="1046" customFormat="1" ht="13.5">
      <c r="A44" s="1040" t="s">
        <v>142</v>
      </c>
      <c r="B44" s="53">
        <v>0.22</v>
      </c>
      <c r="C44" s="1041">
        <v>0.3</v>
      </c>
      <c r="D44" s="4"/>
      <c r="E44" s="62"/>
      <c r="F44" s="4">
        <v>-0.17</v>
      </c>
      <c r="G44" s="62">
        <v>-0.01</v>
      </c>
      <c r="H44" s="4"/>
      <c r="I44" s="62"/>
      <c r="J44" s="4">
        <v>-0.25</v>
      </c>
      <c r="K44" s="6">
        <v>-0.56000000000000005</v>
      </c>
      <c r="L44" s="21"/>
      <c r="M44" s="62"/>
      <c r="N44" s="4">
        <v>2.2999999999999998</v>
      </c>
      <c r="O44" s="6"/>
      <c r="P44" s="4">
        <v>-4.17</v>
      </c>
      <c r="Q44" s="6"/>
      <c r="R44" s="4"/>
      <c r="S44" s="6"/>
      <c r="T44" s="21"/>
      <c r="U44" s="62"/>
      <c r="V44" s="4">
        <v>3.85</v>
      </c>
      <c r="W44" s="6"/>
      <c r="X44" s="21">
        <v>4.0999999999999996</v>
      </c>
      <c r="Y44" s="62"/>
      <c r="Z44" s="56">
        <v>0.18</v>
      </c>
      <c r="AA44" s="1042">
        <v>0.23</v>
      </c>
      <c r="AB44" s="4">
        <v>0.72</v>
      </c>
      <c r="AC44" s="62">
        <v>-3.62</v>
      </c>
      <c r="AD44" s="4">
        <v>0.02</v>
      </c>
      <c r="AE44" s="62">
        <v>-0.03</v>
      </c>
      <c r="AF44" s="4"/>
      <c r="AG44" s="62"/>
      <c r="AH44" s="4"/>
      <c r="AI44" s="62"/>
      <c r="AJ44" s="4"/>
      <c r="AK44" s="62"/>
      <c r="AL44" s="1043"/>
      <c r="AM44" s="62"/>
      <c r="AN44" s="945">
        <v>6.91</v>
      </c>
      <c r="AO44" s="946">
        <v>4.7</v>
      </c>
      <c r="AP44" s="1044"/>
      <c r="AQ44" s="759"/>
      <c r="AR44" s="64">
        <v>0.51</v>
      </c>
      <c r="AS44" s="1045"/>
      <c r="AT44" s="4"/>
      <c r="AU44" s="62"/>
      <c r="AV44" s="4"/>
      <c r="AW44" s="5"/>
      <c r="AX44" s="4"/>
      <c r="AY44" s="5"/>
      <c r="AZ44" s="4"/>
      <c r="BA44" s="6"/>
    </row>
    <row r="45" spans="1:53" s="1046" customFormat="1" thickBot="1">
      <c r="A45" s="1047" t="s">
        <v>143</v>
      </c>
      <c r="B45" s="1035">
        <v>0.22</v>
      </c>
      <c r="C45" s="1036">
        <v>0.3</v>
      </c>
      <c r="D45" s="699"/>
      <c r="E45" s="944"/>
      <c r="F45" s="699">
        <v>-0.17</v>
      </c>
      <c r="G45" s="944">
        <v>-0.01</v>
      </c>
      <c r="H45" s="699"/>
      <c r="I45" s="944"/>
      <c r="J45" s="699">
        <v>-0.25</v>
      </c>
      <c r="K45" s="725">
        <v>-0.56000000000000005</v>
      </c>
      <c r="L45" s="894"/>
      <c r="M45" s="944"/>
      <c r="N45" s="4">
        <v>2.2999999999999998</v>
      </c>
      <c r="O45" s="6"/>
      <c r="P45" s="699"/>
      <c r="Q45" s="725"/>
      <c r="R45" s="699"/>
      <c r="S45" s="725"/>
      <c r="T45" s="894"/>
      <c r="U45" s="944"/>
      <c r="V45" s="699">
        <v>3.85</v>
      </c>
      <c r="W45" s="725"/>
      <c r="X45" s="894">
        <v>4.0999999999999996</v>
      </c>
      <c r="Y45" s="944"/>
      <c r="Z45" s="1048">
        <v>0.18</v>
      </c>
      <c r="AA45" s="1049">
        <v>0.23</v>
      </c>
      <c r="AB45" s="699">
        <v>0.72</v>
      </c>
      <c r="AC45" s="944">
        <v>-3.62</v>
      </c>
      <c r="AD45" s="1037">
        <v>0.02</v>
      </c>
      <c r="AE45" s="1038">
        <v>-0.03</v>
      </c>
      <c r="AF45" s="699"/>
      <c r="AG45" s="944"/>
      <c r="AH45" s="699"/>
      <c r="AI45" s="944"/>
      <c r="AJ45" s="699"/>
      <c r="AK45" s="944"/>
      <c r="AL45" s="1050"/>
      <c r="AM45" s="944"/>
      <c r="AN45" s="947">
        <v>6.9</v>
      </c>
      <c r="AO45" s="948">
        <v>4.6900000000000004</v>
      </c>
      <c r="AP45" s="1051"/>
      <c r="AQ45" s="1052"/>
      <c r="AR45" s="1053">
        <v>0.51</v>
      </c>
      <c r="AS45" s="1054"/>
      <c r="AT45" s="699"/>
      <c r="AU45" s="944"/>
      <c r="AV45" s="699"/>
      <c r="AW45" s="1039"/>
      <c r="AX45" s="699"/>
      <c r="AY45" s="1039"/>
      <c r="AZ45" s="699"/>
      <c r="BA45" s="725"/>
    </row>
  </sheetData>
  <mergeCells count="29">
    <mergeCell ref="A1:AZ1"/>
    <mergeCell ref="A2:AZ2"/>
    <mergeCell ref="A3:A4"/>
    <mergeCell ref="B3:C3"/>
    <mergeCell ref="D3:E3"/>
    <mergeCell ref="F3:G3"/>
    <mergeCell ref="J3:K3"/>
    <mergeCell ref="AX3:AY3"/>
    <mergeCell ref="L3:M3"/>
    <mergeCell ref="AL3:AM3"/>
    <mergeCell ref="AJ3:AK3"/>
    <mergeCell ref="T3:U3"/>
    <mergeCell ref="X3:Y3"/>
    <mergeCell ref="P3:Q3"/>
    <mergeCell ref="R3:S3"/>
    <mergeCell ref="AB3:AC3"/>
    <mergeCell ref="N3:O3"/>
    <mergeCell ref="AZ3:BA3"/>
    <mergeCell ref="H3:I3"/>
    <mergeCell ref="AN3:AO3"/>
    <mergeCell ref="AP3:AQ3"/>
    <mergeCell ref="AR3:AS3"/>
    <mergeCell ref="AT3:AU3"/>
    <mergeCell ref="AV3:AW3"/>
    <mergeCell ref="V3:W3"/>
    <mergeCell ref="Z3:AA3"/>
    <mergeCell ref="AD3:AE3"/>
    <mergeCell ref="AF3:AG3"/>
    <mergeCell ref="AH3:A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68"/>
  <sheetViews>
    <sheetView workbookViewId="0">
      <pane xSplit="1" topLeftCell="B1" activePane="topRight" state="frozen"/>
      <selection pane="topRight" activeCell="A4" sqref="A4"/>
    </sheetView>
  </sheetViews>
  <sheetFormatPr defaultRowHeight="16.5"/>
  <cols>
    <col min="1" max="1" width="59.28515625" style="66" bestFit="1" customWidth="1"/>
    <col min="2" max="7" width="13.7109375" style="66" bestFit="1" customWidth="1"/>
    <col min="8" max="8" width="14.28515625" style="66" bestFit="1" customWidth="1"/>
    <col min="9" max="9" width="13.7109375" style="66" bestFit="1" customWidth="1"/>
    <col min="10" max="10" width="14.28515625" style="66" bestFit="1" customWidth="1"/>
    <col min="11" max="11" width="13.7109375" style="66" bestFit="1" customWidth="1"/>
    <col min="12" max="12" width="14.28515625" style="66" bestFit="1" customWidth="1"/>
    <col min="13" max="17" width="13.7109375" style="66" bestFit="1" customWidth="1"/>
    <col min="18" max="18" width="14.28515625" style="66" bestFit="1" customWidth="1"/>
    <col min="19" max="23" width="13.7109375" style="66" bestFit="1" customWidth="1"/>
    <col min="24" max="24" width="15.5703125" style="66" bestFit="1" customWidth="1"/>
    <col min="25" max="25" width="13.7109375" style="66" bestFit="1" customWidth="1"/>
    <col min="26" max="26" width="14.28515625" style="66" bestFit="1" customWidth="1"/>
    <col min="27" max="27" width="13.7109375" style="66" bestFit="1" customWidth="1"/>
    <col min="28" max="28" width="14.28515625" style="66" bestFit="1" customWidth="1"/>
    <col min="29" max="29" width="13.7109375" style="66" bestFit="1" customWidth="1"/>
    <col min="30" max="30" width="14.28515625" style="66" bestFit="1" customWidth="1"/>
    <col min="31" max="31" width="13.7109375" style="66" bestFit="1" customWidth="1"/>
    <col min="32" max="32" width="14.28515625" style="66" bestFit="1" customWidth="1"/>
    <col min="33" max="33" width="13.7109375" style="66" bestFit="1" customWidth="1"/>
    <col min="34" max="34" width="14.28515625" style="66" bestFit="1" customWidth="1"/>
    <col min="35" max="35" width="13.7109375" style="66" bestFit="1" customWidth="1"/>
    <col min="36" max="36" width="14.28515625" style="66" bestFit="1" customWidth="1"/>
    <col min="37" max="39" width="13.7109375" style="66" bestFit="1" customWidth="1"/>
    <col min="40" max="40" width="14.28515625" style="66" bestFit="1" customWidth="1"/>
    <col min="41" max="43" width="13.7109375" style="66" bestFit="1" customWidth="1"/>
    <col min="44" max="44" width="14.28515625" style="66" bestFit="1" customWidth="1"/>
    <col min="45" max="45" width="13.7109375" style="66" bestFit="1" customWidth="1"/>
    <col min="46" max="46" width="14.28515625" style="66" bestFit="1" customWidth="1"/>
    <col min="47" max="47" width="13.7109375" style="66" bestFit="1" customWidth="1"/>
    <col min="48" max="49" width="15.5703125" style="66" bestFit="1" customWidth="1"/>
    <col min="50" max="51" width="13.7109375" style="66" bestFit="1" customWidth="1"/>
    <col min="52" max="53" width="15.5703125" style="66" bestFit="1" customWidth="1"/>
    <col min="54" max="16384" width="9.140625" style="66"/>
  </cols>
  <sheetData>
    <row r="1" spans="1:53" ht="44.25" customHeight="1" thickBot="1">
      <c r="A1" s="896" t="s">
        <v>260</v>
      </c>
      <c r="B1" s="1085" t="s">
        <v>150</v>
      </c>
      <c r="C1" s="1086"/>
      <c r="D1" s="1087" t="s">
        <v>261</v>
      </c>
      <c r="E1" s="1088"/>
      <c r="F1" s="1089" t="s">
        <v>152</v>
      </c>
      <c r="G1" s="1088"/>
      <c r="H1" s="1089" t="s">
        <v>153</v>
      </c>
      <c r="I1" s="1088"/>
      <c r="J1" s="1089" t="s">
        <v>262</v>
      </c>
      <c r="K1" s="1088"/>
      <c r="L1" s="1087" t="s">
        <v>155</v>
      </c>
      <c r="M1" s="1088"/>
      <c r="N1" s="1087" t="s">
        <v>255</v>
      </c>
      <c r="O1" s="1088"/>
      <c r="P1" s="1089" t="s">
        <v>172</v>
      </c>
      <c r="Q1" s="1089"/>
      <c r="R1" s="1087" t="s">
        <v>263</v>
      </c>
      <c r="S1" s="1088"/>
      <c r="T1" s="1087" t="s">
        <v>264</v>
      </c>
      <c r="U1" s="1088"/>
      <c r="V1" s="1089" t="s">
        <v>265</v>
      </c>
      <c r="W1" s="1088"/>
      <c r="X1" s="1089" t="s">
        <v>266</v>
      </c>
      <c r="Y1" s="1088"/>
      <c r="Z1" s="1089" t="s">
        <v>366</v>
      </c>
      <c r="AA1" s="1089"/>
      <c r="AB1" s="1087" t="s">
        <v>161</v>
      </c>
      <c r="AC1" s="1088"/>
      <c r="AD1" s="1090" t="s">
        <v>162</v>
      </c>
      <c r="AE1" s="1091"/>
      <c r="AF1" s="1087" t="s">
        <v>163</v>
      </c>
      <c r="AG1" s="1088"/>
      <c r="AH1" s="1087" t="s">
        <v>244</v>
      </c>
      <c r="AI1" s="1088"/>
      <c r="AJ1" s="1087" t="s">
        <v>165</v>
      </c>
      <c r="AK1" s="1088"/>
      <c r="AL1" s="1094" t="s">
        <v>166</v>
      </c>
      <c r="AM1" s="1094"/>
      <c r="AN1" s="1087" t="s">
        <v>167</v>
      </c>
      <c r="AO1" s="1088"/>
      <c r="AP1" s="1087" t="s">
        <v>168</v>
      </c>
      <c r="AQ1" s="1088"/>
      <c r="AR1" s="1089" t="s">
        <v>267</v>
      </c>
      <c r="AS1" s="1089"/>
      <c r="AT1" s="1087" t="s">
        <v>170</v>
      </c>
      <c r="AU1" s="1088"/>
      <c r="AV1" s="1095" t="s">
        <v>1</v>
      </c>
      <c r="AW1" s="1096"/>
      <c r="AX1" s="1090" t="s">
        <v>171</v>
      </c>
      <c r="AY1" s="1091"/>
      <c r="AZ1" s="1092" t="s">
        <v>2</v>
      </c>
      <c r="BA1" s="1093"/>
    </row>
    <row r="2" spans="1:53" s="920" customFormat="1" ht="54.75" customHeight="1" thickBot="1">
      <c r="A2" s="917" t="s">
        <v>0</v>
      </c>
      <c r="B2" s="918" t="s">
        <v>324</v>
      </c>
      <c r="C2" s="919" t="s">
        <v>361</v>
      </c>
      <c r="D2" s="918" t="s">
        <v>324</v>
      </c>
      <c r="E2" s="919" t="s">
        <v>361</v>
      </c>
      <c r="F2" s="918" t="s">
        <v>324</v>
      </c>
      <c r="G2" s="919" t="s">
        <v>361</v>
      </c>
      <c r="H2" s="918" t="s">
        <v>324</v>
      </c>
      <c r="I2" s="919" t="s">
        <v>361</v>
      </c>
      <c r="J2" s="918" t="s">
        <v>324</v>
      </c>
      <c r="K2" s="919" t="s">
        <v>361</v>
      </c>
      <c r="L2" s="918" t="s">
        <v>324</v>
      </c>
      <c r="M2" s="919" t="s">
        <v>361</v>
      </c>
      <c r="N2" s="918" t="s">
        <v>324</v>
      </c>
      <c r="O2" s="919" t="s">
        <v>361</v>
      </c>
      <c r="P2" s="918" t="s">
        <v>324</v>
      </c>
      <c r="Q2" s="919" t="s">
        <v>361</v>
      </c>
      <c r="R2" s="918" t="s">
        <v>324</v>
      </c>
      <c r="S2" s="919" t="s">
        <v>361</v>
      </c>
      <c r="T2" s="918" t="s">
        <v>324</v>
      </c>
      <c r="U2" s="919" t="s">
        <v>361</v>
      </c>
      <c r="V2" s="918" t="s">
        <v>324</v>
      </c>
      <c r="W2" s="919" t="s">
        <v>361</v>
      </c>
      <c r="X2" s="918" t="s">
        <v>324</v>
      </c>
      <c r="Y2" s="919" t="s">
        <v>361</v>
      </c>
      <c r="Z2" s="918" t="s">
        <v>324</v>
      </c>
      <c r="AA2" s="919" t="s">
        <v>361</v>
      </c>
      <c r="AB2" s="918" t="s">
        <v>324</v>
      </c>
      <c r="AC2" s="919" t="s">
        <v>361</v>
      </c>
      <c r="AD2" s="918" t="s">
        <v>324</v>
      </c>
      <c r="AE2" s="919" t="s">
        <v>361</v>
      </c>
      <c r="AF2" s="918" t="s">
        <v>324</v>
      </c>
      <c r="AG2" s="919" t="s">
        <v>361</v>
      </c>
      <c r="AH2" s="918" t="s">
        <v>324</v>
      </c>
      <c r="AI2" s="919" t="s">
        <v>361</v>
      </c>
      <c r="AJ2" s="918" t="s">
        <v>324</v>
      </c>
      <c r="AK2" s="919" t="s">
        <v>361</v>
      </c>
      <c r="AL2" s="918" t="s">
        <v>324</v>
      </c>
      <c r="AM2" s="919" t="s">
        <v>361</v>
      </c>
      <c r="AN2" s="918" t="s">
        <v>324</v>
      </c>
      <c r="AO2" s="919" t="s">
        <v>361</v>
      </c>
      <c r="AP2" s="918" t="s">
        <v>324</v>
      </c>
      <c r="AQ2" s="919" t="s">
        <v>361</v>
      </c>
      <c r="AR2" s="918" t="s">
        <v>324</v>
      </c>
      <c r="AS2" s="919" t="s">
        <v>361</v>
      </c>
      <c r="AT2" s="918" t="s">
        <v>324</v>
      </c>
      <c r="AU2" s="919" t="s">
        <v>361</v>
      </c>
      <c r="AV2" s="918" t="s">
        <v>324</v>
      </c>
      <c r="AW2" s="919" t="s">
        <v>361</v>
      </c>
      <c r="AX2" s="918" t="s">
        <v>324</v>
      </c>
      <c r="AY2" s="919" t="s">
        <v>361</v>
      </c>
      <c r="AZ2" s="918" t="s">
        <v>324</v>
      </c>
      <c r="BA2" s="919" t="s">
        <v>361</v>
      </c>
    </row>
    <row r="3" spans="1:53">
      <c r="A3" s="897" t="s">
        <v>268</v>
      </c>
      <c r="B3" s="898"/>
      <c r="C3" s="899"/>
      <c r="D3" s="900"/>
      <c r="E3" s="899"/>
      <c r="F3" s="900"/>
      <c r="G3" s="899"/>
      <c r="H3" s="900"/>
      <c r="I3" s="899"/>
      <c r="J3" s="900"/>
      <c r="K3" s="899"/>
      <c r="L3" s="900"/>
      <c r="M3" s="901"/>
      <c r="N3" s="898"/>
      <c r="O3" s="901"/>
      <c r="P3" s="898"/>
      <c r="Q3" s="901"/>
      <c r="R3" s="898"/>
      <c r="S3" s="901"/>
      <c r="T3" s="898"/>
      <c r="U3" s="901"/>
      <c r="V3" s="898"/>
      <c r="W3" s="901"/>
      <c r="X3" s="898"/>
      <c r="Y3" s="899"/>
      <c r="Z3" s="900"/>
      <c r="AA3" s="899"/>
      <c r="AB3" s="900"/>
      <c r="AC3" s="901"/>
      <c r="AD3" s="898"/>
      <c r="AE3" s="899"/>
      <c r="AF3" s="900"/>
      <c r="AG3" s="899"/>
      <c r="AH3" s="900"/>
      <c r="AI3" s="901"/>
      <c r="AJ3" s="898"/>
      <c r="AK3" s="899"/>
      <c r="AL3" s="900"/>
      <c r="AM3" s="899"/>
      <c r="AN3" s="900"/>
      <c r="AO3" s="899"/>
      <c r="AP3" s="900"/>
      <c r="AQ3" s="899"/>
      <c r="AR3" s="900"/>
      <c r="AS3" s="899"/>
      <c r="AT3" s="900"/>
      <c r="AU3" s="899"/>
      <c r="AV3" s="900"/>
      <c r="AW3" s="899"/>
      <c r="AX3" s="900"/>
      <c r="AY3" s="899"/>
      <c r="AZ3" s="900"/>
      <c r="BA3" s="901"/>
    </row>
    <row r="4" spans="1:53">
      <c r="A4" s="67" t="s">
        <v>269</v>
      </c>
      <c r="B4" s="306"/>
      <c r="C4" s="902"/>
      <c r="D4" s="903"/>
      <c r="E4" s="902"/>
      <c r="F4" s="903"/>
      <c r="G4" s="902"/>
      <c r="H4" s="903"/>
      <c r="I4" s="902"/>
      <c r="J4" s="903"/>
      <c r="K4" s="902"/>
      <c r="L4" s="903"/>
      <c r="M4" s="301"/>
      <c r="N4" s="306"/>
      <c r="O4" s="301"/>
      <c r="P4" s="306"/>
      <c r="Q4" s="301"/>
      <c r="R4" s="306"/>
      <c r="S4" s="301"/>
      <c r="T4" s="306"/>
      <c r="U4" s="301"/>
      <c r="V4" s="306"/>
      <c r="W4" s="301"/>
      <c r="X4" s="306"/>
      <c r="Y4" s="902"/>
      <c r="Z4" s="903"/>
      <c r="AA4" s="902"/>
      <c r="AB4" s="903"/>
      <c r="AC4" s="301"/>
      <c r="AD4" s="306"/>
      <c r="AE4" s="902"/>
      <c r="AF4" s="903"/>
      <c r="AG4" s="902"/>
      <c r="AH4" s="903"/>
      <c r="AI4" s="301"/>
      <c r="AJ4" s="306"/>
      <c r="AK4" s="902"/>
      <c r="AL4" s="903"/>
      <c r="AM4" s="902"/>
      <c r="AN4" s="903"/>
      <c r="AO4" s="902"/>
      <c r="AP4" s="903"/>
      <c r="AQ4" s="902"/>
      <c r="AR4" s="903"/>
      <c r="AS4" s="902"/>
      <c r="AT4" s="903"/>
      <c r="AU4" s="902"/>
      <c r="AV4" s="903"/>
      <c r="AW4" s="902"/>
      <c r="AX4" s="903"/>
      <c r="AY4" s="902"/>
      <c r="AZ4" s="903"/>
      <c r="BA4" s="301"/>
    </row>
    <row r="5" spans="1:53">
      <c r="A5" s="67" t="s">
        <v>270</v>
      </c>
      <c r="B5" s="904">
        <v>190120.8</v>
      </c>
      <c r="C5" s="904">
        <v>190121</v>
      </c>
      <c r="D5" s="902">
        <v>146784.39000000001</v>
      </c>
      <c r="E5" s="902">
        <v>147164</v>
      </c>
      <c r="F5" s="903">
        <v>200490</v>
      </c>
      <c r="G5" s="902">
        <v>200490</v>
      </c>
      <c r="H5" s="902">
        <v>15070.9</v>
      </c>
      <c r="I5" s="902">
        <v>15071</v>
      </c>
      <c r="J5" s="902">
        <v>294120.09999999998</v>
      </c>
      <c r="K5" s="902">
        <v>333120</v>
      </c>
      <c r="L5" s="301">
        <v>95000</v>
      </c>
      <c r="M5" s="301">
        <v>95000</v>
      </c>
      <c r="N5" s="301">
        <v>37406</v>
      </c>
      <c r="O5" s="301">
        <v>37406</v>
      </c>
      <c r="P5" s="301">
        <v>31262</v>
      </c>
      <c r="Q5" s="301">
        <v>46555</v>
      </c>
      <c r="R5" s="301">
        <v>185000</v>
      </c>
      <c r="S5" s="301">
        <v>185000</v>
      </c>
      <c r="T5" s="301">
        <v>193582</v>
      </c>
      <c r="U5" s="301">
        <v>196582</v>
      </c>
      <c r="V5" s="301">
        <v>201946</v>
      </c>
      <c r="W5" s="301">
        <v>202313</v>
      </c>
      <c r="X5" s="902">
        <v>143590.26999999999</v>
      </c>
      <c r="Y5" s="902">
        <v>143712</v>
      </c>
      <c r="Z5" s="902">
        <v>80000</v>
      </c>
      <c r="AA5" s="902">
        <v>80000</v>
      </c>
      <c r="AB5" s="301">
        <v>66346.149999999994</v>
      </c>
      <c r="AC5" s="301">
        <v>66346</v>
      </c>
      <c r="AD5" s="902">
        <v>51029.02</v>
      </c>
      <c r="AE5" s="902">
        <v>51029</v>
      </c>
      <c r="AF5" s="902">
        <v>191881.29</v>
      </c>
      <c r="AG5" s="902">
        <v>191881</v>
      </c>
      <c r="AH5" s="301">
        <v>201288.43</v>
      </c>
      <c r="AI5" s="301">
        <v>201288</v>
      </c>
      <c r="AJ5" s="902">
        <v>119632.35</v>
      </c>
      <c r="AK5" s="902">
        <v>119632</v>
      </c>
      <c r="AL5" s="903"/>
      <c r="AM5" s="902"/>
      <c r="AN5" s="903">
        <v>100004.91</v>
      </c>
      <c r="AO5" s="903">
        <v>100021</v>
      </c>
      <c r="AP5" s="902">
        <v>17585.53</v>
      </c>
      <c r="AQ5" s="902">
        <v>17747</v>
      </c>
      <c r="AR5" s="902">
        <v>25896.41</v>
      </c>
      <c r="AS5" s="902">
        <v>25896</v>
      </c>
      <c r="AT5" s="902">
        <v>195350</v>
      </c>
      <c r="AU5" s="902">
        <v>195350</v>
      </c>
      <c r="AV5" s="903">
        <f t="shared" ref="AV5:AW67" si="0">B5+D5+F5+H5+J5+L5+N5+P5+R5+T5+V5+X5+Z5+AB5+AD5+AF5+AH5+AJ5+AL5+AN5+AP5+AR5+AT5</f>
        <v>2783386.5500000003</v>
      </c>
      <c r="AW5" s="902">
        <f t="shared" si="0"/>
        <v>2841724</v>
      </c>
      <c r="AX5" s="903"/>
      <c r="AY5" s="902"/>
      <c r="AZ5" s="903">
        <f>AV5+AX5</f>
        <v>2783386.5500000003</v>
      </c>
      <c r="BA5" s="301">
        <f>AW5+AY5</f>
        <v>2841724</v>
      </c>
    </row>
    <row r="6" spans="1:53">
      <c r="A6" s="67" t="s">
        <v>271</v>
      </c>
      <c r="B6" s="904"/>
      <c r="C6" s="904"/>
      <c r="D6" s="902"/>
      <c r="E6" s="902"/>
      <c r="F6" s="903"/>
      <c r="G6" s="902"/>
      <c r="H6" s="902"/>
      <c r="I6" s="902"/>
      <c r="J6" s="902"/>
      <c r="K6" s="902"/>
      <c r="L6" s="301"/>
      <c r="M6" s="301"/>
      <c r="N6" s="301"/>
      <c r="O6" s="301"/>
      <c r="P6" s="301"/>
      <c r="Q6" s="301"/>
      <c r="R6" s="301"/>
      <c r="S6" s="301"/>
      <c r="T6" s="301"/>
      <c r="U6" s="301">
        <v>10000</v>
      </c>
      <c r="V6" s="301">
        <v>632</v>
      </c>
      <c r="W6" s="301">
        <v>399</v>
      </c>
      <c r="X6" s="902"/>
      <c r="Y6" s="902">
        <v>5</v>
      </c>
      <c r="Z6" s="902"/>
      <c r="AA6" s="902"/>
      <c r="AB6" s="301"/>
      <c r="AC6" s="301"/>
      <c r="AD6" s="902"/>
      <c r="AE6" s="902"/>
      <c r="AF6" s="902"/>
      <c r="AG6" s="902"/>
      <c r="AH6" s="301"/>
      <c r="AI6" s="301"/>
      <c r="AJ6" s="902"/>
      <c r="AK6" s="902"/>
      <c r="AL6" s="903"/>
      <c r="AM6" s="902"/>
      <c r="AN6" s="903"/>
      <c r="AO6" s="903"/>
      <c r="AP6" s="902"/>
      <c r="AQ6" s="902"/>
      <c r="AR6" s="902"/>
      <c r="AS6" s="902"/>
      <c r="AT6" s="902"/>
      <c r="AU6" s="902"/>
      <c r="AV6" s="903">
        <f t="shared" si="0"/>
        <v>632</v>
      </c>
      <c r="AW6" s="902">
        <f t="shared" si="0"/>
        <v>10404</v>
      </c>
      <c r="AX6" s="903"/>
      <c r="AY6" s="902"/>
      <c r="AZ6" s="903">
        <f t="shared" ref="AZ6:BA67" si="1">AV6+AX6</f>
        <v>632</v>
      </c>
      <c r="BA6" s="301">
        <f t="shared" si="1"/>
        <v>10404</v>
      </c>
    </row>
    <row r="7" spans="1:53">
      <c r="A7" s="67" t="s">
        <v>272</v>
      </c>
      <c r="B7" s="904">
        <v>34199.910000000003</v>
      </c>
      <c r="C7" s="904">
        <v>51263</v>
      </c>
      <c r="D7" s="902">
        <v>87637.05</v>
      </c>
      <c r="E7" s="902">
        <v>106061</v>
      </c>
      <c r="F7" s="903"/>
      <c r="G7" s="902"/>
      <c r="H7" s="902">
        <v>999712.2</v>
      </c>
      <c r="I7" s="902">
        <v>1037569</v>
      </c>
      <c r="J7" s="902">
        <v>21211.08</v>
      </c>
      <c r="K7" s="902">
        <v>21666</v>
      </c>
      <c r="L7" s="301">
        <v>15291.97</v>
      </c>
      <c r="M7" s="301">
        <v>15815</v>
      </c>
      <c r="N7" s="301">
        <v>83292</v>
      </c>
      <c r="O7" s="301">
        <v>83292</v>
      </c>
      <c r="P7" s="301">
        <v>168826</v>
      </c>
      <c r="Q7" s="301">
        <v>171192</v>
      </c>
      <c r="R7" s="301"/>
      <c r="S7" s="301"/>
      <c r="T7" s="301"/>
      <c r="U7" s="301"/>
      <c r="V7" s="301">
        <v>576089</v>
      </c>
      <c r="W7" s="301">
        <v>666240</v>
      </c>
      <c r="X7" s="902">
        <v>668997.81999999995</v>
      </c>
      <c r="Y7" s="902">
        <v>707248</v>
      </c>
      <c r="Z7" s="902">
        <v>13377.54</v>
      </c>
      <c r="AA7" s="902">
        <v>15315</v>
      </c>
      <c r="AB7" s="301">
        <v>28000</v>
      </c>
      <c r="AC7" s="301">
        <v>28000</v>
      </c>
      <c r="AD7" s="902">
        <v>293903.65000000002</v>
      </c>
      <c r="AE7" s="902">
        <v>328151</v>
      </c>
      <c r="AF7" s="902">
        <v>90376.16</v>
      </c>
      <c r="AG7" s="902">
        <v>103124</v>
      </c>
      <c r="AH7" s="301">
        <v>443.86</v>
      </c>
      <c r="AI7" s="301">
        <v>436</v>
      </c>
      <c r="AJ7" s="902">
        <v>30315.919999999998</v>
      </c>
      <c r="AK7" s="902">
        <v>30316</v>
      </c>
      <c r="AL7" s="903"/>
      <c r="AM7" s="902"/>
      <c r="AN7" s="903">
        <v>857591</v>
      </c>
      <c r="AO7" s="903">
        <v>957145</v>
      </c>
      <c r="AP7" s="902">
        <v>48492.97</v>
      </c>
      <c r="AQ7" s="902">
        <v>45699</v>
      </c>
      <c r="AR7" s="902">
        <v>38330.32</v>
      </c>
      <c r="AS7" s="902">
        <v>7799</v>
      </c>
      <c r="AT7" s="902">
        <v>8217.6</v>
      </c>
      <c r="AU7" s="902">
        <v>13940</v>
      </c>
      <c r="AV7" s="903">
        <f t="shared" si="0"/>
        <v>4064306.05</v>
      </c>
      <c r="AW7" s="902">
        <f t="shared" si="0"/>
        <v>4390271</v>
      </c>
      <c r="AX7" s="903"/>
      <c r="AY7" s="902"/>
      <c r="AZ7" s="903">
        <f t="shared" si="1"/>
        <v>4064306.05</v>
      </c>
      <c r="BA7" s="301">
        <f t="shared" si="1"/>
        <v>4390271</v>
      </c>
    </row>
    <row r="8" spans="1:53">
      <c r="A8" s="67" t="s">
        <v>273</v>
      </c>
      <c r="B8" s="904">
        <v>1069.7</v>
      </c>
      <c r="C8" s="904">
        <v>4117</v>
      </c>
      <c r="D8" s="902"/>
      <c r="E8" s="902"/>
      <c r="F8" s="903"/>
      <c r="G8" s="902"/>
      <c r="H8" s="902">
        <v>19721.509999999998</v>
      </c>
      <c r="I8" s="902">
        <v>54537</v>
      </c>
      <c r="J8" s="902">
        <v>-567.49</v>
      </c>
      <c r="K8" s="902">
        <v>447</v>
      </c>
      <c r="L8" s="301">
        <v>88.87</v>
      </c>
      <c r="M8" s="301">
        <v>-70</v>
      </c>
      <c r="N8" s="301">
        <v>-1895</v>
      </c>
      <c r="O8" s="301">
        <v>623</v>
      </c>
      <c r="P8" s="301">
        <v>433</v>
      </c>
      <c r="Q8" s="301">
        <v>746</v>
      </c>
      <c r="R8" s="301">
        <v>6</v>
      </c>
      <c r="S8" s="301">
        <v>1</v>
      </c>
      <c r="T8" s="301">
        <v>-85</v>
      </c>
      <c r="U8" s="301">
        <v>-2</v>
      </c>
      <c r="V8" s="301">
        <v>3819</v>
      </c>
      <c r="W8" s="301">
        <v>22715</v>
      </c>
      <c r="X8" s="902">
        <v>7986</v>
      </c>
      <c r="Y8" s="902">
        <v>23676</v>
      </c>
      <c r="Z8" s="902">
        <v>-617.86</v>
      </c>
      <c r="AA8" s="902">
        <v>568</v>
      </c>
      <c r="AB8" s="301">
        <v>155.58000000000001</v>
      </c>
      <c r="AC8" s="301">
        <v>93.74</v>
      </c>
      <c r="AD8" s="902">
        <v>-51.11</v>
      </c>
      <c r="AE8" s="902">
        <v>-19</v>
      </c>
      <c r="AF8" s="902">
        <v>1140.58</v>
      </c>
      <c r="AG8" s="902">
        <v>1185</v>
      </c>
      <c r="AH8" s="301">
        <v>-45</v>
      </c>
      <c r="AI8" s="301">
        <v>546</v>
      </c>
      <c r="AJ8" s="902">
        <v>-2116.7600000000002</v>
      </c>
      <c r="AK8" s="902">
        <v>3741</v>
      </c>
      <c r="AL8" s="903"/>
      <c r="AM8" s="902"/>
      <c r="AN8" s="903">
        <v>8758</v>
      </c>
      <c r="AO8" s="903">
        <v>33518</v>
      </c>
      <c r="AP8" s="902">
        <v>499.33</v>
      </c>
      <c r="AQ8" s="902">
        <v>2150</v>
      </c>
      <c r="AR8" s="902">
        <v>-5.99</v>
      </c>
      <c r="AS8" s="902">
        <v>50</v>
      </c>
      <c r="AT8" s="902"/>
      <c r="AU8" s="902"/>
      <c r="AV8" s="903">
        <f t="shared" si="0"/>
        <v>38293.360000000001</v>
      </c>
      <c r="AW8" s="902">
        <f t="shared" si="0"/>
        <v>148622.74</v>
      </c>
      <c r="AX8" s="903"/>
      <c r="AY8" s="902"/>
      <c r="AZ8" s="903">
        <f t="shared" si="1"/>
        <v>38293.360000000001</v>
      </c>
      <c r="BA8" s="301">
        <f t="shared" si="1"/>
        <v>148622.74</v>
      </c>
    </row>
    <row r="9" spans="1:53">
      <c r="A9" s="67" t="s">
        <v>274</v>
      </c>
      <c r="B9" s="904"/>
      <c r="C9" s="904"/>
      <c r="D9" s="902"/>
      <c r="E9" s="902"/>
      <c r="F9" s="903"/>
      <c r="G9" s="902"/>
      <c r="H9" s="902"/>
      <c r="I9" s="902"/>
      <c r="J9" s="902"/>
      <c r="K9" s="902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902">
        <v>0.13</v>
      </c>
      <c r="Y9" s="902"/>
      <c r="Z9" s="303"/>
      <c r="AA9" s="303"/>
      <c r="AB9" s="301"/>
      <c r="AC9" s="301"/>
      <c r="AD9" s="902"/>
      <c r="AE9" s="902"/>
      <c r="AF9" s="902"/>
      <c r="AG9" s="902"/>
      <c r="AH9" s="301"/>
      <c r="AI9" s="301"/>
      <c r="AJ9" s="902"/>
      <c r="AK9" s="902"/>
      <c r="AL9" s="903"/>
      <c r="AM9" s="902"/>
      <c r="AN9" s="902"/>
      <c r="AO9" s="902"/>
      <c r="AP9" s="902"/>
      <c r="AQ9" s="902"/>
      <c r="AR9" s="902"/>
      <c r="AS9" s="902"/>
      <c r="AT9" s="902"/>
      <c r="AU9" s="902"/>
      <c r="AV9" s="903"/>
      <c r="AW9" s="902"/>
      <c r="AX9" s="903"/>
      <c r="AY9" s="902"/>
      <c r="AZ9" s="903"/>
      <c r="BA9" s="301"/>
    </row>
    <row r="10" spans="1:53" s="912" customFormat="1" ht="18">
      <c r="A10" s="905" t="s">
        <v>275</v>
      </c>
      <c r="B10" s="906">
        <f t="shared" ref="B10" si="2">SUM(B5:B8)</f>
        <v>225390.41</v>
      </c>
      <c r="C10" s="906">
        <f t="shared" ref="C10:W10" si="3">SUM(C5:C8)</f>
        <v>245501</v>
      </c>
      <c r="D10" s="906">
        <f t="shared" ref="D10" si="4">SUM(D5:D8)</f>
        <v>234421.44</v>
      </c>
      <c r="E10" s="906">
        <f t="shared" si="3"/>
        <v>253225</v>
      </c>
      <c r="F10" s="907">
        <f t="shared" si="3"/>
        <v>200490</v>
      </c>
      <c r="G10" s="906">
        <f t="shared" si="3"/>
        <v>200490</v>
      </c>
      <c r="H10" s="906">
        <f t="shared" ref="H10" si="5">SUM(H5:H8)</f>
        <v>1034504.61</v>
      </c>
      <c r="I10" s="906">
        <f t="shared" si="3"/>
        <v>1107177</v>
      </c>
      <c r="J10" s="906">
        <f t="shared" ref="J10" si="6">SUM(J5:J8)</f>
        <v>314763.69</v>
      </c>
      <c r="K10" s="906">
        <f t="shared" si="3"/>
        <v>355233</v>
      </c>
      <c r="L10" s="908">
        <f t="shared" ref="L10" si="7">SUM(L5:L8)</f>
        <v>110380.84</v>
      </c>
      <c r="M10" s="908">
        <f t="shared" si="3"/>
        <v>110745</v>
      </c>
      <c r="N10" s="908">
        <f t="shared" ref="N10" si="8">SUM(N5:N8)</f>
        <v>118803</v>
      </c>
      <c r="O10" s="908">
        <f t="shared" si="3"/>
        <v>121321</v>
      </c>
      <c r="P10" s="908">
        <f t="shared" ref="P10" si="9">SUM(P5:P8)</f>
        <v>200521</v>
      </c>
      <c r="Q10" s="908">
        <f t="shared" si="3"/>
        <v>218493</v>
      </c>
      <c r="R10" s="908">
        <f t="shared" ref="R10" si="10">SUM(R5:R8)</f>
        <v>185006</v>
      </c>
      <c r="S10" s="908">
        <f t="shared" si="3"/>
        <v>185001</v>
      </c>
      <c r="T10" s="908">
        <f t="shared" ref="T10" si="11">SUM(T5:T8)</f>
        <v>193497</v>
      </c>
      <c r="U10" s="908">
        <f t="shared" si="3"/>
        <v>206580</v>
      </c>
      <c r="V10" s="908">
        <f t="shared" ref="V10" si="12">SUM(V5:V8)</f>
        <v>782486</v>
      </c>
      <c r="W10" s="908">
        <f t="shared" si="3"/>
        <v>891667</v>
      </c>
      <c r="X10" s="906">
        <f>SUM(X5:X9)</f>
        <v>820574.22</v>
      </c>
      <c r="Y10" s="906">
        <f>SUM(Y5:Y9)</f>
        <v>874641</v>
      </c>
      <c r="Z10" s="906">
        <f t="shared" ref="Z10" si="13">SUM(Z5:Z9)</f>
        <v>92759.680000000008</v>
      </c>
      <c r="AA10" s="906">
        <f t="shared" ref="AA10:AU10" si="14">SUM(AA5:AA9)</f>
        <v>95883</v>
      </c>
      <c r="AB10" s="906">
        <f t="shared" ref="AB10" si="15">SUM(AB5:AB9)</f>
        <v>94501.73</v>
      </c>
      <c r="AC10" s="906">
        <f t="shared" si="14"/>
        <v>94439.74</v>
      </c>
      <c r="AD10" s="906">
        <f t="shared" ref="AD10" si="16">SUM(AD5:AD9)</f>
        <v>344881.56000000006</v>
      </c>
      <c r="AE10" s="906">
        <f t="shared" si="14"/>
        <v>379161</v>
      </c>
      <c r="AF10" s="906">
        <f t="shared" ref="AF10" si="17">SUM(AF5:AF9)</f>
        <v>283398.03000000003</v>
      </c>
      <c r="AG10" s="906">
        <f t="shared" si="14"/>
        <v>296190</v>
      </c>
      <c r="AH10" s="906">
        <f t="shared" ref="AH10" si="18">SUM(AH5:AH9)</f>
        <v>201687.28999999998</v>
      </c>
      <c r="AI10" s="906">
        <f t="shared" si="14"/>
        <v>202270</v>
      </c>
      <c r="AJ10" s="906">
        <f t="shared" ref="AJ10" si="19">SUM(AJ5:AJ9)</f>
        <v>147831.51</v>
      </c>
      <c r="AK10" s="906">
        <f t="shared" si="14"/>
        <v>153689</v>
      </c>
      <c r="AL10" s="906">
        <f t="shared" si="14"/>
        <v>0</v>
      </c>
      <c r="AM10" s="906">
        <f t="shared" si="14"/>
        <v>0</v>
      </c>
      <c r="AN10" s="906">
        <f t="shared" ref="AN10" si="20">SUM(AN5:AN9)</f>
        <v>966353.91</v>
      </c>
      <c r="AO10" s="906">
        <f t="shared" si="14"/>
        <v>1090684</v>
      </c>
      <c r="AP10" s="906">
        <f t="shared" ref="AP10" si="21">SUM(AP5:AP9)</f>
        <v>66577.83</v>
      </c>
      <c r="AQ10" s="906">
        <f t="shared" si="14"/>
        <v>65596</v>
      </c>
      <c r="AR10" s="906">
        <f t="shared" ref="AR10" si="22">SUM(AR5:AR9)</f>
        <v>64220.74</v>
      </c>
      <c r="AS10" s="906">
        <f t="shared" si="14"/>
        <v>33745</v>
      </c>
      <c r="AT10" s="906">
        <f t="shared" ref="AT10" si="23">SUM(AT5:AT9)</f>
        <v>203567.6</v>
      </c>
      <c r="AU10" s="906">
        <f t="shared" si="14"/>
        <v>209290</v>
      </c>
      <c r="AV10" s="903">
        <f t="shared" si="0"/>
        <v>6886618.0899999999</v>
      </c>
      <c r="AW10" s="902">
        <f t="shared" si="0"/>
        <v>7391021.7400000002</v>
      </c>
      <c r="AX10" s="909">
        <f>SUM(AX5:AX8)</f>
        <v>0</v>
      </c>
      <c r="AY10" s="911">
        <f>SUM(AY5:AY8)</f>
        <v>0</v>
      </c>
      <c r="AZ10" s="903">
        <f t="shared" si="1"/>
        <v>6886618.0899999999</v>
      </c>
      <c r="BA10" s="301">
        <f t="shared" si="1"/>
        <v>7391021.7400000002</v>
      </c>
    </row>
    <row r="11" spans="1:53">
      <c r="A11" s="67" t="s">
        <v>276</v>
      </c>
      <c r="B11" s="904"/>
      <c r="C11" s="904">
        <v>34500</v>
      </c>
      <c r="D11" s="902">
        <v>7000</v>
      </c>
      <c r="E11" s="902">
        <v>7000</v>
      </c>
      <c r="F11" s="903"/>
      <c r="G11" s="902"/>
      <c r="H11" s="902"/>
      <c r="I11" s="902"/>
      <c r="J11" s="902">
        <v>6000</v>
      </c>
      <c r="K11" s="902">
        <v>6000</v>
      </c>
      <c r="L11" s="301"/>
      <c r="M11" s="301"/>
      <c r="N11" s="301"/>
      <c r="O11" s="301"/>
      <c r="P11" s="301"/>
      <c r="Q11" s="301"/>
      <c r="R11" s="301"/>
      <c r="S11" s="301"/>
      <c r="T11" s="301"/>
      <c r="U11" s="301">
        <v>3000</v>
      </c>
      <c r="V11" s="301">
        <v>60000</v>
      </c>
      <c r="W11" s="301">
        <v>60000</v>
      </c>
      <c r="X11" s="902"/>
      <c r="Y11" s="902">
        <v>120000</v>
      </c>
      <c r="Z11" s="902"/>
      <c r="AA11" s="902"/>
      <c r="AB11" s="301">
        <v>10000</v>
      </c>
      <c r="AC11" s="301">
        <v>10000</v>
      </c>
      <c r="AD11" s="902"/>
      <c r="AE11" s="902"/>
      <c r="AF11" s="902"/>
      <c r="AG11" s="902">
        <v>49600</v>
      </c>
      <c r="AH11" s="301"/>
      <c r="AI11" s="301"/>
      <c r="AJ11" s="902"/>
      <c r="AK11" s="902"/>
      <c r="AL11" s="903"/>
      <c r="AM11" s="902"/>
      <c r="AN11" s="902"/>
      <c r="AO11" s="902"/>
      <c r="AP11" s="902"/>
      <c r="AQ11" s="902"/>
      <c r="AR11" s="902"/>
      <c r="AS11" s="902"/>
      <c r="AT11" s="902"/>
      <c r="AU11" s="902"/>
      <c r="AV11" s="903">
        <f t="shared" si="0"/>
        <v>83000</v>
      </c>
      <c r="AW11" s="902">
        <f t="shared" si="0"/>
        <v>290100</v>
      </c>
      <c r="AX11" s="903"/>
      <c r="AY11" s="902"/>
      <c r="AZ11" s="903">
        <f t="shared" si="1"/>
        <v>83000</v>
      </c>
      <c r="BA11" s="301">
        <f t="shared" si="1"/>
        <v>290100</v>
      </c>
    </row>
    <row r="12" spans="1:53">
      <c r="A12" s="905" t="s">
        <v>277</v>
      </c>
      <c r="B12" s="904"/>
      <c r="C12" s="904"/>
      <c r="D12" s="902"/>
      <c r="E12" s="902"/>
      <c r="F12" s="903"/>
      <c r="G12" s="902"/>
      <c r="H12" s="902"/>
      <c r="I12" s="902"/>
      <c r="J12" s="902"/>
      <c r="K12" s="902"/>
      <c r="L12" s="301"/>
      <c r="M12" s="301"/>
      <c r="N12" s="301"/>
      <c r="O12" s="301"/>
      <c r="P12" s="301"/>
      <c r="Q12" s="301"/>
      <c r="R12" s="301">
        <v>-3419.48</v>
      </c>
      <c r="S12" s="301">
        <v>17531</v>
      </c>
      <c r="T12" s="301"/>
      <c r="U12" s="301"/>
      <c r="V12" s="301"/>
      <c r="W12" s="301"/>
      <c r="X12" s="902"/>
      <c r="Y12" s="902"/>
      <c r="Z12" s="902"/>
      <c r="AA12" s="902"/>
      <c r="AB12" s="301"/>
      <c r="AC12" s="301"/>
      <c r="AD12" s="902"/>
      <c r="AE12" s="902"/>
      <c r="AF12" s="902"/>
      <c r="AG12" s="902"/>
      <c r="AH12" s="301"/>
      <c r="AI12" s="301"/>
      <c r="AJ12" s="902"/>
      <c r="AK12" s="902"/>
      <c r="AL12" s="903"/>
      <c r="AM12" s="902"/>
      <c r="AN12" s="902"/>
      <c r="AO12" s="902"/>
      <c r="AP12" s="902"/>
      <c r="AQ12" s="902"/>
      <c r="AR12" s="902"/>
      <c r="AS12" s="902"/>
      <c r="AT12" s="902"/>
      <c r="AU12" s="902"/>
      <c r="AV12" s="903">
        <f t="shared" si="0"/>
        <v>-3419.48</v>
      </c>
      <c r="AW12" s="902">
        <f t="shared" si="0"/>
        <v>17531</v>
      </c>
      <c r="AX12" s="903"/>
      <c r="AY12" s="902"/>
      <c r="AZ12" s="903">
        <f t="shared" si="1"/>
        <v>-3419.48</v>
      </c>
      <c r="BA12" s="301">
        <f t="shared" si="1"/>
        <v>17531</v>
      </c>
    </row>
    <row r="13" spans="1:53">
      <c r="A13" s="67" t="s">
        <v>273</v>
      </c>
      <c r="B13" s="904">
        <v>17773.400000000001</v>
      </c>
      <c r="C13" s="904">
        <v>28134</v>
      </c>
      <c r="D13" s="902">
        <v>-412</v>
      </c>
      <c r="E13" s="902">
        <v>196</v>
      </c>
      <c r="F13" s="903">
        <v>54</v>
      </c>
      <c r="G13" s="902">
        <v>118</v>
      </c>
      <c r="H13" s="902">
        <v>103078.39999999999</v>
      </c>
      <c r="I13" s="902">
        <v>236691</v>
      </c>
      <c r="J13" s="902">
        <v>-227.24</v>
      </c>
      <c r="K13" s="902">
        <v>6122</v>
      </c>
      <c r="L13" s="301">
        <v>136010</v>
      </c>
      <c r="M13" s="301">
        <v>2818</v>
      </c>
      <c r="N13" s="301">
        <v>15007</v>
      </c>
      <c r="O13" s="301">
        <v>65</v>
      </c>
      <c r="P13" s="301">
        <v>1741</v>
      </c>
      <c r="Q13" s="301">
        <v>5428</v>
      </c>
      <c r="R13" s="301"/>
      <c r="S13" s="301"/>
      <c r="T13" s="301">
        <v>-351</v>
      </c>
      <c r="U13" s="301">
        <v>21</v>
      </c>
      <c r="V13" s="301">
        <v>111944</v>
      </c>
      <c r="W13" s="301">
        <v>300190</v>
      </c>
      <c r="X13" s="902">
        <v>180027</v>
      </c>
      <c r="Y13" s="902">
        <v>367594</v>
      </c>
      <c r="Z13" s="902">
        <v>-414909</v>
      </c>
      <c r="AA13" s="902">
        <v>5074</v>
      </c>
      <c r="AB13" s="301">
        <v>-423.75</v>
      </c>
      <c r="AC13" s="301">
        <v>3158.85</v>
      </c>
      <c r="AD13" s="902">
        <v>-2929.45</v>
      </c>
      <c r="AE13" s="902">
        <v>27515</v>
      </c>
      <c r="AF13" s="902">
        <v>28183</v>
      </c>
      <c r="AG13" s="902">
        <v>147975</v>
      </c>
      <c r="AH13" s="301">
        <v>6768.55</v>
      </c>
      <c r="AI13" s="301">
        <v>36412</v>
      </c>
      <c r="AJ13" s="902">
        <v>-16141.39</v>
      </c>
      <c r="AK13" s="902">
        <v>18328</v>
      </c>
      <c r="AL13" s="903"/>
      <c r="AM13" s="902"/>
      <c r="AN13" s="902">
        <v>33246.75</v>
      </c>
      <c r="AO13" s="902">
        <v>371909</v>
      </c>
      <c r="AP13" s="902">
        <v>882.15</v>
      </c>
      <c r="AQ13" s="902">
        <v>8386</v>
      </c>
      <c r="AR13" s="902">
        <v>-157.65</v>
      </c>
      <c r="AS13" s="902">
        <v>771</v>
      </c>
      <c r="AT13" s="902">
        <v>70541.05</v>
      </c>
      <c r="AU13" s="902">
        <v>157947</v>
      </c>
      <c r="AV13" s="903">
        <f t="shared" si="0"/>
        <v>269704.82</v>
      </c>
      <c r="AW13" s="902">
        <f t="shared" si="0"/>
        <v>1724852.85</v>
      </c>
      <c r="AX13" s="903"/>
      <c r="AY13" s="902"/>
      <c r="AZ13" s="903">
        <f t="shared" si="1"/>
        <v>269704.82</v>
      </c>
      <c r="BA13" s="301">
        <f t="shared" si="1"/>
        <v>1724852.85</v>
      </c>
    </row>
    <row r="14" spans="1:53">
      <c r="A14" s="67" t="s">
        <v>278</v>
      </c>
      <c r="B14" s="904"/>
      <c r="C14" s="904"/>
      <c r="D14" s="902"/>
      <c r="E14" s="902"/>
      <c r="F14" s="903"/>
      <c r="G14" s="902"/>
      <c r="H14" s="902">
        <v>2904659.17</v>
      </c>
      <c r="I14" s="902">
        <v>3483909</v>
      </c>
      <c r="J14" s="902"/>
      <c r="K14" s="902"/>
      <c r="L14" s="301"/>
      <c r="M14" s="301"/>
      <c r="N14" s="301"/>
      <c r="O14" s="301"/>
      <c r="P14" s="301"/>
      <c r="Q14" s="301"/>
      <c r="R14" s="301">
        <v>1361830.96</v>
      </c>
      <c r="S14" s="301">
        <f>933529+2692+412588+22466+74274+107722</f>
        <v>1553271</v>
      </c>
      <c r="T14" s="301"/>
      <c r="U14" s="301"/>
      <c r="V14" s="301"/>
      <c r="W14" s="301"/>
      <c r="X14" s="902"/>
      <c r="Y14" s="902"/>
      <c r="Z14" s="902"/>
      <c r="AA14" s="902"/>
      <c r="AB14" s="301"/>
      <c r="AC14" s="301"/>
      <c r="AD14" s="902">
        <v>4331.3900000000003</v>
      </c>
      <c r="AE14" s="902">
        <v>4974</v>
      </c>
      <c r="AF14" s="902"/>
      <c r="AG14" s="902"/>
      <c r="AH14" s="301"/>
      <c r="AI14" s="301"/>
      <c r="AJ14" s="902"/>
      <c r="AK14" s="902"/>
      <c r="AL14" s="903"/>
      <c r="AM14" s="902"/>
      <c r="AN14" s="902"/>
      <c r="AO14" s="902"/>
      <c r="AP14" s="902"/>
      <c r="AQ14" s="902"/>
      <c r="AR14" s="902"/>
      <c r="AS14" s="902"/>
      <c r="AT14" s="902"/>
      <c r="AU14" s="902"/>
      <c r="AV14" s="903">
        <f t="shared" si="0"/>
        <v>4270821.5199999996</v>
      </c>
      <c r="AW14" s="902">
        <f t="shared" si="0"/>
        <v>5042154</v>
      </c>
      <c r="AX14" s="903"/>
      <c r="AY14" s="902"/>
      <c r="AZ14" s="903">
        <f t="shared" si="1"/>
        <v>4270821.5199999996</v>
      </c>
      <c r="BA14" s="301">
        <f t="shared" si="1"/>
        <v>5042154</v>
      </c>
    </row>
    <row r="15" spans="1:53">
      <c r="A15" s="67" t="s">
        <v>279</v>
      </c>
      <c r="B15" s="904">
        <v>1942951.43</v>
      </c>
      <c r="C15" s="904">
        <v>2778507</v>
      </c>
      <c r="D15" s="902">
        <v>162515</v>
      </c>
      <c r="E15" s="902">
        <v>191361</v>
      </c>
      <c r="F15" s="903"/>
      <c r="G15" s="902"/>
      <c r="H15" s="902"/>
      <c r="I15" s="902"/>
      <c r="J15" s="902">
        <v>646224.54</v>
      </c>
      <c r="K15" s="902">
        <v>801169</v>
      </c>
      <c r="L15" s="301"/>
      <c r="M15" s="301"/>
      <c r="N15" s="301">
        <v>405090</v>
      </c>
      <c r="O15" s="301">
        <v>465732</v>
      </c>
      <c r="P15" s="301">
        <v>223413</v>
      </c>
      <c r="Q15" s="301">
        <v>295345</v>
      </c>
      <c r="R15" s="301"/>
      <c r="S15" s="301"/>
      <c r="T15" s="301">
        <v>371609</v>
      </c>
      <c r="U15" s="301">
        <v>451163</v>
      </c>
      <c r="V15" s="301">
        <v>7457966</v>
      </c>
      <c r="W15" s="301">
        <v>9478832</v>
      </c>
      <c r="X15" s="902"/>
      <c r="Y15" s="902"/>
      <c r="Z15" s="902"/>
      <c r="AA15" s="902"/>
      <c r="AB15" s="301">
        <v>921830.94</v>
      </c>
      <c r="AC15" s="301">
        <v>978295.94</v>
      </c>
      <c r="AD15" s="902">
        <v>1919361.59</v>
      </c>
      <c r="AE15" s="902">
        <v>2391272</v>
      </c>
      <c r="AF15" s="902">
        <v>5002854.9800000004</v>
      </c>
      <c r="AG15" s="902">
        <v>6023667</v>
      </c>
      <c r="AH15" s="301">
        <v>1712232.69</v>
      </c>
      <c r="AI15" s="301">
        <v>2105301</v>
      </c>
      <c r="AJ15" s="902">
        <v>1582946.57</v>
      </c>
      <c r="AK15" s="902">
        <v>1772403</v>
      </c>
      <c r="AL15" s="903"/>
      <c r="AM15" s="902"/>
      <c r="AN15" s="902">
        <v>8345390.4500000002</v>
      </c>
      <c r="AO15" s="902">
        <v>9936266</v>
      </c>
      <c r="AP15" s="902">
        <v>448482.29</v>
      </c>
      <c r="AQ15" s="902">
        <v>576645</v>
      </c>
      <c r="AR15" s="902">
        <v>732805.85</v>
      </c>
      <c r="AS15" s="902">
        <v>990121</v>
      </c>
      <c r="AT15" s="902">
        <v>2225937.63</v>
      </c>
      <c r="AU15" s="902">
        <v>2921618</v>
      </c>
      <c r="AV15" s="903">
        <f t="shared" si="0"/>
        <v>34101611.960000001</v>
      </c>
      <c r="AW15" s="902">
        <f t="shared" si="0"/>
        <v>42157697.939999998</v>
      </c>
      <c r="AX15" s="903"/>
      <c r="AY15" s="902"/>
      <c r="AZ15" s="903">
        <f t="shared" si="1"/>
        <v>34101611.960000001</v>
      </c>
      <c r="BA15" s="301">
        <f t="shared" si="1"/>
        <v>42157697.939999998</v>
      </c>
    </row>
    <row r="16" spans="1:53">
      <c r="A16" s="67" t="s">
        <v>280</v>
      </c>
      <c r="B16" s="904"/>
      <c r="C16" s="904"/>
      <c r="D16" s="902"/>
      <c r="E16" s="902"/>
      <c r="F16" s="903">
        <v>71</v>
      </c>
      <c r="G16" s="902">
        <v>1816</v>
      </c>
      <c r="H16" s="902"/>
      <c r="I16" s="902"/>
      <c r="J16" s="902"/>
      <c r="K16" s="902"/>
      <c r="L16" s="301">
        <v>10354.6</v>
      </c>
      <c r="M16" s="301">
        <v>3294</v>
      </c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902"/>
      <c r="Y16" s="902"/>
      <c r="Z16" s="902"/>
      <c r="AA16" s="902"/>
      <c r="AB16" s="301"/>
      <c r="AC16" s="301"/>
      <c r="AD16" s="902"/>
      <c r="AE16" s="902"/>
      <c r="AF16" s="902"/>
      <c r="AG16" s="902"/>
      <c r="AH16" s="301"/>
      <c r="AI16" s="301"/>
      <c r="AJ16" s="902"/>
      <c r="AK16" s="902"/>
      <c r="AL16" s="903"/>
      <c r="AM16" s="902"/>
      <c r="AN16" s="902"/>
      <c r="AO16" s="902"/>
      <c r="AP16" s="902"/>
      <c r="AQ16" s="902"/>
      <c r="AR16" s="902"/>
      <c r="AS16" s="902"/>
      <c r="AT16" s="902"/>
      <c r="AU16" s="902"/>
      <c r="AV16" s="903">
        <f t="shared" si="0"/>
        <v>10425.6</v>
      </c>
      <c r="AW16" s="902">
        <f t="shared" si="0"/>
        <v>5110</v>
      </c>
      <c r="AX16" s="903"/>
      <c r="AY16" s="902"/>
      <c r="AZ16" s="903">
        <f t="shared" si="1"/>
        <v>10425.6</v>
      </c>
      <c r="BA16" s="301">
        <f t="shared" si="1"/>
        <v>5110</v>
      </c>
    </row>
    <row r="17" spans="1:53">
      <c r="A17" s="905" t="s">
        <v>279</v>
      </c>
      <c r="B17" s="904"/>
      <c r="C17" s="904"/>
      <c r="D17" s="902"/>
      <c r="E17" s="902"/>
      <c r="F17" s="903"/>
      <c r="G17" s="902"/>
      <c r="H17" s="902"/>
      <c r="I17" s="902"/>
      <c r="J17" s="902"/>
      <c r="K17" s="902"/>
      <c r="L17" s="301">
        <v>712101.19</v>
      </c>
      <c r="M17" s="301">
        <f>7507+534+141663+462214+3924</f>
        <v>615842</v>
      </c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902">
        <v>5218686</v>
      </c>
      <c r="Y17" s="902">
        <v>6664693</v>
      </c>
      <c r="Z17" s="902">
        <v>701340.8</v>
      </c>
      <c r="AA17" s="902">
        <v>806478</v>
      </c>
      <c r="AB17" s="301"/>
      <c r="AC17" s="301"/>
      <c r="AD17" s="902"/>
      <c r="AE17" s="902"/>
      <c r="AF17" s="902"/>
      <c r="AG17" s="902"/>
      <c r="AH17" s="301"/>
      <c r="AI17" s="301"/>
      <c r="AJ17" s="902"/>
      <c r="AK17" s="902"/>
      <c r="AL17" s="903"/>
      <c r="AM17" s="902"/>
      <c r="AN17" s="902"/>
      <c r="AO17" s="902"/>
      <c r="AP17" s="902"/>
      <c r="AQ17" s="902"/>
      <c r="AR17" s="902"/>
      <c r="AS17" s="902"/>
      <c r="AT17" s="902"/>
      <c r="AU17" s="902"/>
      <c r="AV17" s="903">
        <f t="shared" si="0"/>
        <v>6632127.9899999993</v>
      </c>
      <c r="AW17" s="902">
        <f t="shared" si="0"/>
        <v>8087013</v>
      </c>
      <c r="AX17" s="903"/>
      <c r="AY17" s="902"/>
      <c r="AZ17" s="903">
        <f t="shared" si="1"/>
        <v>6632127.9899999993</v>
      </c>
      <c r="BA17" s="301">
        <f t="shared" si="1"/>
        <v>8087013</v>
      </c>
    </row>
    <row r="18" spans="1:53">
      <c r="A18" s="67" t="s">
        <v>281</v>
      </c>
      <c r="B18" s="904"/>
      <c r="C18" s="904"/>
      <c r="D18" s="902"/>
      <c r="E18" s="902"/>
      <c r="F18" s="903">
        <f>2806</f>
        <v>2806</v>
      </c>
      <c r="G18" s="902">
        <f>3408+47</f>
        <v>3455</v>
      </c>
      <c r="H18" s="902"/>
      <c r="I18" s="902"/>
      <c r="J18" s="902"/>
      <c r="K18" s="902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902"/>
      <c r="Y18" s="902"/>
      <c r="Z18" s="902"/>
      <c r="AA18" s="902"/>
      <c r="AB18" s="301"/>
      <c r="AC18" s="301"/>
      <c r="AD18" s="902"/>
      <c r="AE18" s="902"/>
      <c r="AF18" s="902"/>
      <c r="AG18" s="902"/>
      <c r="AH18" s="301"/>
      <c r="AI18" s="301"/>
      <c r="AJ18" s="902"/>
      <c r="AK18" s="902"/>
      <c r="AL18" s="903"/>
      <c r="AM18" s="902"/>
      <c r="AN18" s="902"/>
      <c r="AO18" s="902"/>
      <c r="AP18" s="902"/>
      <c r="AQ18" s="902"/>
      <c r="AR18" s="902"/>
      <c r="AS18" s="902"/>
      <c r="AT18" s="902"/>
      <c r="AU18" s="902"/>
      <c r="AV18" s="903">
        <f t="shared" si="0"/>
        <v>2806</v>
      </c>
      <c r="AW18" s="902">
        <f t="shared" si="0"/>
        <v>3455</v>
      </c>
      <c r="AX18" s="903"/>
      <c r="AY18" s="902"/>
      <c r="AZ18" s="903">
        <f t="shared" si="1"/>
        <v>2806</v>
      </c>
      <c r="BA18" s="301">
        <f t="shared" si="1"/>
        <v>3455</v>
      </c>
    </row>
    <row r="19" spans="1:53">
      <c r="A19" s="67" t="s">
        <v>282</v>
      </c>
      <c r="B19" s="904"/>
      <c r="C19" s="904"/>
      <c r="D19" s="902"/>
      <c r="E19" s="902"/>
      <c r="F19" s="903">
        <f>2155+120+569206+17091+4587+221+5356+1436+1207</f>
        <v>601379</v>
      </c>
      <c r="G19" s="902">
        <f>2601+87+649007+18439+6347+306+5730+689+1713</f>
        <v>684919</v>
      </c>
      <c r="H19" s="902"/>
      <c r="I19" s="902"/>
      <c r="J19" s="902"/>
      <c r="K19" s="902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902"/>
      <c r="Y19" s="902"/>
      <c r="Z19" s="902"/>
      <c r="AA19" s="902"/>
      <c r="AB19" s="301"/>
      <c r="AC19" s="301"/>
      <c r="AD19" s="902"/>
      <c r="AE19" s="902"/>
      <c r="AF19" s="902"/>
      <c r="AG19" s="902"/>
      <c r="AH19" s="301"/>
      <c r="AI19" s="301"/>
      <c r="AJ19" s="902"/>
      <c r="AK19" s="902"/>
      <c r="AL19" s="903"/>
      <c r="AM19" s="902"/>
      <c r="AN19" s="902"/>
      <c r="AO19" s="902"/>
      <c r="AP19" s="902"/>
      <c r="AQ19" s="902"/>
      <c r="AR19" s="902"/>
      <c r="AS19" s="902"/>
      <c r="AT19" s="902"/>
      <c r="AU19" s="902"/>
      <c r="AV19" s="903">
        <f t="shared" si="0"/>
        <v>601379</v>
      </c>
      <c r="AW19" s="902">
        <f t="shared" si="0"/>
        <v>684919</v>
      </c>
      <c r="AX19" s="903"/>
      <c r="AY19" s="902"/>
      <c r="AZ19" s="903">
        <f t="shared" si="1"/>
        <v>601379</v>
      </c>
      <c r="BA19" s="301">
        <f t="shared" si="1"/>
        <v>684919</v>
      </c>
    </row>
    <row r="20" spans="1:53">
      <c r="A20" s="905" t="s">
        <v>283</v>
      </c>
      <c r="B20" s="904"/>
      <c r="C20" s="904"/>
      <c r="D20" s="902"/>
      <c r="E20" s="902"/>
      <c r="F20" s="903"/>
      <c r="G20" s="902"/>
      <c r="H20" s="902">
        <v>5296428.76</v>
      </c>
      <c r="I20" s="902"/>
      <c r="J20" s="902"/>
      <c r="K20" s="902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902"/>
      <c r="Y20" s="902"/>
      <c r="Z20" s="902"/>
      <c r="AA20" s="902"/>
      <c r="AB20" s="301"/>
      <c r="AC20" s="301"/>
      <c r="AD20" s="902"/>
      <c r="AE20" s="902"/>
      <c r="AF20" s="902"/>
      <c r="AG20" s="902"/>
      <c r="AH20" s="301"/>
      <c r="AI20" s="301"/>
      <c r="AJ20" s="902"/>
      <c r="AK20" s="902"/>
      <c r="AL20" s="903"/>
      <c r="AM20" s="902"/>
      <c r="AN20" s="902"/>
      <c r="AO20" s="902"/>
      <c r="AP20" s="902"/>
      <c r="AQ20" s="902"/>
      <c r="AR20" s="902"/>
      <c r="AS20" s="902"/>
      <c r="AT20" s="902"/>
      <c r="AU20" s="902"/>
      <c r="AV20" s="903">
        <f t="shared" si="0"/>
        <v>5296428.76</v>
      </c>
      <c r="AW20" s="902">
        <f t="shared" si="0"/>
        <v>0</v>
      </c>
      <c r="AX20" s="903"/>
      <c r="AY20" s="902"/>
      <c r="AZ20" s="903">
        <f t="shared" si="1"/>
        <v>5296428.76</v>
      </c>
      <c r="BA20" s="301">
        <f t="shared" si="1"/>
        <v>0</v>
      </c>
    </row>
    <row r="21" spans="1:53">
      <c r="A21" s="67" t="s">
        <v>284</v>
      </c>
      <c r="B21" s="904"/>
      <c r="C21" s="904"/>
      <c r="D21" s="902"/>
      <c r="E21" s="902"/>
      <c r="F21" s="903"/>
      <c r="G21" s="902"/>
      <c r="H21" s="902"/>
      <c r="I21" s="902"/>
      <c r="J21" s="902"/>
      <c r="K21" s="902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902"/>
      <c r="Y21" s="902"/>
      <c r="Z21" s="902"/>
      <c r="AA21" s="902"/>
      <c r="AB21" s="301"/>
      <c r="AC21" s="301"/>
      <c r="AD21" s="902"/>
      <c r="AE21" s="902"/>
      <c r="AF21" s="902"/>
      <c r="AG21" s="902"/>
      <c r="AH21" s="301"/>
      <c r="AI21" s="301"/>
      <c r="AJ21" s="902"/>
      <c r="AK21" s="902"/>
      <c r="AL21" s="903"/>
      <c r="AM21" s="902"/>
      <c r="AN21" s="902"/>
      <c r="AO21" s="902"/>
      <c r="AP21" s="902"/>
      <c r="AQ21" s="902"/>
      <c r="AR21" s="902"/>
      <c r="AS21" s="902"/>
      <c r="AT21" s="902"/>
      <c r="AU21" s="902"/>
      <c r="AV21" s="903">
        <f t="shared" si="0"/>
        <v>0</v>
      </c>
      <c r="AW21" s="902">
        <f t="shared" si="0"/>
        <v>0</v>
      </c>
      <c r="AX21" s="903"/>
      <c r="AY21" s="902"/>
      <c r="AZ21" s="903">
        <f t="shared" si="1"/>
        <v>0</v>
      </c>
      <c r="BA21" s="301">
        <f t="shared" si="1"/>
        <v>0</v>
      </c>
    </row>
    <row r="22" spans="1:53">
      <c r="A22" s="67" t="s">
        <v>285</v>
      </c>
      <c r="B22" s="904"/>
      <c r="C22" s="904"/>
      <c r="D22" s="902"/>
      <c r="E22" s="902"/>
      <c r="F22" s="903"/>
      <c r="G22" s="902"/>
      <c r="H22" s="902"/>
      <c r="I22" s="902"/>
      <c r="J22" s="902"/>
      <c r="K22" s="902"/>
      <c r="L22" s="301"/>
      <c r="M22" s="301"/>
      <c r="N22" s="301"/>
      <c r="O22" s="301"/>
      <c r="P22" s="301"/>
      <c r="Q22" s="301"/>
      <c r="R22" s="301">
        <v>15320</v>
      </c>
      <c r="S22" s="301">
        <v>53077</v>
      </c>
      <c r="T22" s="301"/>
      <c r="U22" s="301"/>
      <c r="V22" s="301"/>
      <c r="W22" s="301"/>
      <c r="X22" s="902"/>
      <c r="Y22" s="902"/>
      <c r="Z22" s="902"/>
      <c r="AA22" s="902"/>
      <c r="AB22" s="301"/>
      <c r="AC22" s="301"/>
      <c r="AD22" s="902"/>
      <c r="AE22" s="902"/>
      <c r="AF22" s="902"/>
      <c r="AG22" s="902"/>
      <c r="AH22" s="301"/>
      <c r="AI22" s="301"/>
      <c r="AJ22" s="902"/>
      <c r="AK22" s="902"/>
      <c r="AL22" s="903"/>
      <c r="AM22" s="902"/>
      <c r="AN22" s="902"/>
      <c r="AO22" s="902"/>
      <c r="AP22" s="902"/>
      <c r="AQ22" s="902"/>
      <c r="AR22" s="902"/>
      <c r="AS22" s="902"/>
      <c r="AT22" s="902"/>
      <c r="AU22" s="902"/>
      <c r="AV22" s="903">
        <f t="shared" si="0"/>
        <v>15320</v>
      </c>
      <c r="AW22" s="902">
        <f t="shared" si="0"/>
        <v>53077</v>
      </c>
      <c r="AX22" s="903"/>
      <c r="AY22" s="902"/>
      <c r="AZ22" s="903">
        <f t="shared" si="1"/>
        <v>15320</v>
      </c>
      <c r="BA22" s="301">
        <f t="shared" si="1"/>
        <v>53077</v>
      </c>
    </row>
    <row r="23" spans="1:53">
      <c r="A23" s="905" t="s">
        <v>286</v>
      </c>
      <c r="B23" s="904">
        <v>2331999</v>
      </c>
      <c r="C23" s="904">
        <v>2486290</v>
      </c>
      <c r="D23" s="902">
        <v>96252</v>
      </c>
      <c r="E23" s="902">
        <v>96252</v>
      </c>
      <c r="F23" s="903">
        <f>5049+309+230430+28764+29060</f>
        <v>293612</v>
      </c>
      <c r="G23" s="902">
        <f>5330+314+292394+32938+31235</f>
        <v>362211</v>
      </c>
      <c r="H23" s="902"/>
      <c r="I23" s="902">
        <v>3115556</v>
      </c>
      <c r="J23" s="902">
        <v>115188.71</v>
      </c>
      <c r="K23" s="902">
        <v>164729</v>
      </c>
      <c r="L23" s="301">
        <v>822330.7</v>
      </c>
      <c r="M23" s="301">
        <f>938650+9093</f>
        <v>947743</v>
      </c>
      <c r="N23" s="301">
        <v>30497</v>
      </c>
      <c r="O23" s="301">
        <v>37653</v>
      </c>
      <c r="P23" s="301">
        <v>82098.37</v>
      </c>
      <c r="Q23" s="301">
        <v>117573</v>
      </c>
      <c r="R23" s="301">
        <v>161089</v>
      </c>
      <c r="S23" s="301">
        <v>171420</v>
      </c>
      <c r="T23" s="301">
        <v>50882</v>
      </c>
      <c r="U23" s="301">
        <v>56466</v>
      </c>
      <c r="V23" s="301">
        <v>6155773</v>
      </c>
      <c r="W23" s="301">
        <v>7897650</v>
      </c>
      <c r="X23" s="902">
        <v>10707188.76</v>
      </c>
      <c r="Y23" s="902">
        <v>14383271</v>
      </c>
      <c r="Z23" s="902">
        <v>276263.59999999998</v>
      </c>
      <c r="AA23" s="902">
        <v>389850</v>
      </c>
      <c r="AB23" s="301">
        <v>441917.75</v>
      </c>
      <c r="AC23" s="301">
        <v>637075.04</v>
      </c>
      <c r="AD23" s="902">
        <v>1525615.03</v>
      </c>
      <c r="AE23" s="902">
        <v>2144975</v>
      </c>
      <c r="AF23" s="902">
        <v>2061268.79</v>
      </c>
      <c r="AG23" s="902">
        <v>2859211</v>
      </c>
      <c r="AH23" s="301">
        <v>534024</v>
      </c>
      <c r="AI23" s="301">
        <v>711417</v>
      </c>
      <c r="AJ23" s="902">
        <v>467561.07</v>
      </c>
      <c r="AK23" s="902">
        <v>634376</v>
      </c>
      <c r="AL23" s="903"/>
      <c r="AM23" s="902"/>
      <c r="AN23" s="902">
        <v>8677134</v>
      </c>
      <c r="AO23" s="902">
        <v>12175140</v>
      </c>
      <c r="AP23" s="902">
        <v>46662.77</v>
      </c>
      <c r="AQ23" s="902">
        <v>50238</v>
      </c>
      <c r="AR23" s="902">
        <v>191531</v>
      </c>
      <c r="AS23" s="902">
        <v>227852</v>
      </c>
      <c r="AT23" s="902">
        <v>1158721.18</v>
      </c>
      <c r="AU23" s="902">
        <v>1821712</v>
      </c>
      <c r="AV23" s="903">
        <f t="shared" si="0"/>
        <v>36227609.730000004</v>
      </c>
      <c r="AW23" s="902">
        <f t="shared" si="0"/>
        <v>51488660.039999999</v>
      </c>
      <c r="AX23" s="903"/>
      <c r="AY23" s="902"/>
      <c r="AZ23" s="903">
        <f t="shared" si="1"/>
        <v>36227609.730000004</v>
      </c>
      <c r="BA23" s="301">
        <f t="shared" si="1"/>
        <v>51488660.039999999</v>
      </c>
    </row>
    <row r="24" spans="1:53">
      <c r="A24" s="67" t="s">
        <v>287</v>
      </c>
      <c r="B24" s="904"/>
      <c r="C24" s="904"/>
      <c r="D24" s="902"/>
      <c r="E24" s="902"/>
      <c r="F24" s="903"/>
      <c r="G24" s="902"/>
      <c r="H24" s="902"/>
      <c r="I24" s="902"/>
      <c r="J24" s="902"/>
      <c r="K24" s="902"/>
      <c r="L24" s="301">
        <v>85586.16</v>
      </c>
      <c r="M24" s="301">
        <v>291070</v>
      </c>
      <c r="N24" s="301"/>
      <c r="O24" s="301"/>
      <c r="P24" s="301">
        <v>2450.21</v>
      </c>
      <c r="Q24" s="301">
        <v>28949</v>
      </c>
      <c r="R24" s="301"/>
      <c r="S24" s="301"/>
      <c r="T24" s="301"/>
      <c r="U24" s="301"/>
      <c r="V24" s="301"/>
      <c r="W24" s="301"/>
      <c r="X24" s="902"/>
      <c r="Y24" s="902"/>
      <c r="Z24" s="902"/>
      <c r="AA24" s="902"/>
      <c r="AB24" s="301"/>
      <c r="AC24" s="301"/>
      <c r="AD24" s="902"/>
      <c r="AE24" s="902"/>
      <c r="AF24" s="902"/>
      <c r="AG24" s="902"/>
      <c r="AH24" s="301"/>
      <c r="AI24" s="301"/>
      <c r="AJ24" s="902"/>
      <c r="AK24" s="902"/>
      <c r="AL24" s="903"/>
      <c r="AM24" s="902"/>
      <c r="AN24" s="902"/>
      <c r="AO24" s="902"/>
      <c r="AP24" s="902"/>
      <c r="AQ24" s="902"/>
      <c r="AR24" s="902">
        <v>19986</v>
      </c>
      <c r="AS24" s="902">
        <v>26128</v>
      </c>
      <c r="AT24" s="902"/>
      <c r="AU24" s="902"/>
      <c r="AV24" s="903">
        <f t="shared" si="0"/>
        <v>108022.37000000001</v>
      </c>
      <c r="AW24" s="902">
        <f t="shared" si="0"/>
        <v>346147</v>
      </c>
      <c r="AX24" s="903"/>
      <c r="AY24" s="902"/>
      <c r="AZ24" s="903">
        <f t="shared" si="1"/>
        <v>108022.37000000001</v>
      </c>
      <c r="BA24" s="301">
        <f t="shared" si="1"/>
        <v>346147</v>
      </c>
    </row>
    <row r="25" spans="1:53">
      <c r="A25" s="67" t="s">
        <v>288</v>
      </c>
      <c r="B25" s="904"/>
      <c r="C25" s="904"/>
      <c r="D25" s="902"/>
      <c r="E25" s="902"/>
      <c r="F25" s="903"/>
      <c r="G25" s="902"/>
      <c r="H25" s="902"/>
      <c r="I25" s="902"/>
      <c r="J25" s="902"/>
      <c r="K25" s="902"/>
      <c r="L25" s="301"/>
      <c r="M25" s="301"/>
      <c r="N25" s="301"/>
      <c r="O25" s="301"/>
      <c r="P25" s="301"/>
      <c r="Q25" s="301"/>
      <c r="R25" s="301">
        <v>896</v>
      </c>
      <c r="S25" s="301">
        <v>829</v>
      </c>
      <c r="T25" s="301"/>
      <c r="U25" s="301"/>
      <c r="V25" s="301"/>
      <c r="W25" s="301"/>
      <c r="X25" s="902"/>
      <c r="Y25" s="902"/>
      <c r="Z25" s="902"/>
      <c r="AA25" s="902"/>
      <c r="AB25" s="301"/>
      <c r="AC25" s="301"/>
      <c r="AD25" s="902"/>
      <c r="AE25" s="902"/>
      <c r="AF25" s="902"/>
      <c r="AG25" s="902"/>
      <c r="AH25" s="301"/>
      <c r="AI25" s="301"/>
      <c r="AJ25" s="902"/>
      <c r="AK25" s="902"/>
      <c r="AL25" s="903"/>
      <c r="AM25" s="902"/>
      <c r="AN25" s="902"/>
      <c r="AO25" s="902"/>
      <c r="AP25" s="902"/>
      <c r="AQ25" s="902"/>
      <c r="AR25" s="902"/>
      <c r="AS25" s="902"/>
      <c r="AT25" s="902"/>
      <c r="AU25" s="902"/>
      <c r="AV25" s="903">
        <f t="shared" si="0"/>
        <v>896</v>
      </c>
      <c r="AW25" s="902">
        <f t="shared" si="0"/>
        <v>829</v>
      </c>
      <c r="AX25" s="903"/>
      <c r="AY25" s="902"/>
      <c r="AZ25" s="903">
        <f t="shared" si="1"/>
        <v>896</v>
      </c>
      <c r="BA25" s="301">
        <f t="shared" si="1"/>
        <v>829</v>
      </c>
    </row>
    <row r="26" spans="1:53">
      <c r="A26" s="905" t="s">
        <v>289</v>
      </c>
      <c r="B26" s="904"/>
      <c r="C26" s="904"/>
      <c r="D26" s="902"/>
      <c r="E26" s="902"/>
      <c r="F26" s="903"/>
      <c r="G26" s="902"/>
      <c r="H26" s="902"/>
      <c r="I26" s="902"/>
      <c r="J26" s="902"/>
      <c r="K26" s="902"/>
      <c r="L26" s="301"/>
      <c r="M26" s="301"/>
      <c r="N26" s="301"/>
      <c r="O26" s="301"/>
      <c r="P26" s="301"/>
      <c r="Q26" s="301"/>
      <c r="R26" s="301">
        <f>13214+5988</f>
        <v>19202</v>
      </c>
      <c r="S26" s="301">
        <f>12460+4287</f>
        <v>16747</v>
      </c>
      <c r="T26" s="301"/>
      <c r="U26" s="301"/>
      <c r="V26" s="301"/>
      <c r="W26" s="301"/>
      <c r="X26" s="902">
        <v>1032238.2</v>
      </c>
      <c r="Y26" s="902">
        <f>1115462+6200</f>
        <v>1121662</v>
      </c>
      <c r="Z26" s="902">
        <v>15807.14</v>
      </c>
      <c r="AA26" s="902">
        <v>20896</v>
      </c>
      <c r="AB26" s="301"/>
      <c r="AC26" s="301"/>
      <c r="AD26" s="902"/>
      <c r="AE26" s="902"/>
      <c r="AF26" s="902">
        <v>236765.22</v>
      </c>
      <c r="AG26" s="902">
        <v>360692</v>
      </c>
      <c r="AH26" s="301"/>
      <c r="AI26" s="301"/>
      <c r="AJ26" s="902"/>
      <c r="AK26" s="902"/>
      <c r="AL26" s="903"/>
      <c r="AM26" s="902"/>
      <c r="AN26" s="902"/>
      <c r="AO26" s="902"/>
      <c r="AP26" s="902"/>
      <c r="AQ26" s="902"/>
      <c r="AR26" s="902"/>
      <c r="AS26" s="902"/>
      <c r="AT26" s="902"/>
      <c r="AU26" s="902"/>
      <c r="AV26" s="903">
        <f t="shared" si="0"/>
        <v>1304012.5599999998</v>
      </c>
      <c r="AW26" s="902">
        <f t="shared" si="0"/>
        <v>1519997</v>
      </c>
      <c r="AX26" s="903"/>
      <c r="AY26" s="902"/>
      <c r="AZ26" s="903">
        <f t="shared" si="1"/>
        <v>1304012.5599999998</v>
      </c>
      <c r="BA26" s="301">
        <f t="shared" si="1"/>
        <v>1519997</v>
      </c>
    </row>
    <row r="27" spans="1:53">
      <c r="A27" s="67" t="s">
        <v>290</v>
      </c>
      <c r="B27" s="904">
        <v>81463.3</v>
      </c>
      <c r="C27" s="904">
        <v>106925</v>
      </c>
      <c r="D27" s="902">
        <v>11300</v>
      </c>
      <c r="E27" s="902">
        <v>15190</v>
      </c>
      <c r="F27" s="903">
        <v>17001</v>
      </c>
      <c r="G27" s="902">
        <v>18644</v>
      </c>
      <c r="H27" s="902">
        <v>159356.16</v>
      </c>
      <c r="I27" s="902"/>
      <c r="J27" s="902">
        <v>1591.44</v>
      </c>
      <c r="K27" s="902">
        <v>3041</v>
      </c>
      <c r="L27" s="301">
        <v>72906.92</v>
      </c>
      <c r="M27" s="301">
        <v>75902</v>
      </c>
      <c r="N27" s="301">
        <v>6168</v>
      </c>
      <c r="O27" s="301">
        <v>5768</v>
      </c>
      <c r="P27" s="301">
        <v>15469</v>
      </c>
      <c r="Q27" s="301">
        <v>18813</v>
      </c>
      <c r="R27" s="301"/>
      <c r="S27" s="301"/>
      <c r="T27" s="301">
        <v>13224</v>
      </c>
      <c r="U27" s="301">
        <v>17693</v>
      </c>
      <c r="V27" s="301">
        <v>415245</v>
      </c>
      <c r="W27" s="301">
        <v>368400</v>
      </c>
      <c r="X27" s="902"/>
      <c r="Y27" s="902"/>
      <c r="Z27" s="902"/>
      <c r="AA27" s="902"/>
      <c r="AB27" s="301">
        <v>30344.04</v>
      </c>
      <c r="AC27" s="301">
        <v>42718.05</v>
      </c>
      <c r="AD27" s="902">
        <v>51976.74</v>
      </c>
      <c r="AE27" s="902">
        <v>67337</v>
      </c>
      <c r="AF27" s="902"/>
      <c r="AG27" s="902"/>
      <c r="AH27" s="301">
        <v>60346.93</v>
      </c>
      <c r="AI27" s="301">
        <v>80607</v>
      </c>
      <c r="AJ27" s="902">
        <v>40324.86</v>
      </c>
      <c r="AK27" s="902">
        <v>52969</v>
      </c>
      <c r="AL27" s="903"/>
      <c r="AM27" s="902"/>
      <c r="AN27" s="902">
        <v>660232.46</v>
      </c>
      <c r="AO27" s="902">
        <v>814275</v>
      </c>
      <c r="AP27" s="902">
        <v>2147</v>
      </c>
      <c r="AQ27" s="902">
        <v>2226</v>
      </c>
      <c r="AR27" s="902">
        <v>18059.88</v>
      </c>
      <c r="AS27" s="902">
        <v>23277</v>
      </c>
      <c r="AT27" s="902">
        <v>86118</v>
      </c>
      <c r="AU27" s="902">
        <v>115383</v>
      </c>
      <c r="AV27" s="903">
        <f t="shared" si="0"/>
        <v>1743274.73</v>
      </c>
      <c r="AW27" s="902">
        <f t="shared" si="0"/>
        <v>1829168.05</v>
      </c>
      <c r="AX27" s="903"/>
      <c r="AY27" s="902"/>
      <c r="AZ27" s="903">
        <f t="shared" si="1"/>
        <v>1743274.73</v>
      </c>
      <c r="BA27" s="301">
        <f t="shared" si="1"/>
        <v>1829168.05</v>
      </c>
    </row>
    <row r="28" spans="1:53">
      <c r="A28" s="67" t="s">
        <v>291</v>
      </c>
      <c r="B28" s="904"/>
      <c r="C28" s="904"/>
      <c r="D28" s="902">
        <v>98</v>
      </c>
      <c r="E28" s="902">
        <v>82</v>
      </c>
      <c r="F28" s="903"/>
      <c r="G28" s="902"/>
      <c r="H28" s="902">
        <v>-15.33</v>
      </c>
      <c r="I28" s="902"/>
      <c r="J28" s="902"/>
      <c r="K28" s="902"/>
      <c r="L28" s="301">
        <v>707.8</v>
      </c>
      <c r="M28" s="301">
        <v>1325</v>
      </c>
      <c r="N28" s="301"/>
      <c r="O28" s="301"/>
      <c r="P28" s="301"/>
      <c r="Q28" s="301"/>
      <c r="R28" s="301"/>
      <c r="S28" s="301"/>
      <c r="T28" s="301"/>
      <c r="U28" s="301"/>
      <c r="V28" s="301">
        <v>1037</v>
      </c>
      <c r="W28" s="301">
        <v>2333</v>
      </c>
      <c r="X28" s="902"/>
      <c r="Y28" s="902"/>
      <c r="Z28" s="902"/>
      <c r="AA28" s="902"/>
      <c r="AB28" s="301"/>
      <c r="AC28" s="301"/>
      <c r="AD28" s="902"/>
      <c r="AE28" s="902">
        <v>49</v>
      </c>
      <c r="AF28" s="902"/>
      <c r="AG28" s="902"/>
      <c r="AH28" s="301"/>
      <c r="AI28" s="301"/>
      <c r="AJ28" s="902"/>
      <c r="AK28" s="902"/>
      <c r="AL28" s="903"/>
      <c r="AM28" s="902"/>
      <c r="AN28" s="902">
        <v>10203.35</v>
      </c>
      <c r="AO28" s="902">
        <v>12042</v>
      </c>
      <c r="AP28" s="902"/>
      <c r="AQ28" s="902"/>
      <c r="AR28" s="902">
        <v>14.65</v>
      </c>
      <c r="AS28" s="902">
        <v>16</v>
      </c>
      <c r="AT28" s="902">
        <v>523</v>
      </c>
      <c r="AU28" s="902">
        <v>869</v>
      </c>
      <c r="AV28" s="903">
        <f t="shared" si="0"/>
        <v>12568.47</v>
      </c>
      <c r="AW28" s="902">
        <f t="shared" si="0"/>
        <v>16716</v>
      </c>
      <c r="AX28" s="903"/>
      <c r="AY28" s="902"/>
      <c r="AZ28" s="903">
        <f t="shared" si="1"/>
        <v>12568.47</v>
      </c>
      <c r="BA28" s="301">
        <f t="shared" si="1"/>
        <v>16716</v>
      </c>
    </row>
    <row r="29" spans="1:53">
      <c r="A29" s="67" t="s">
        <v>292</v>
      </c>
      <c r="B29" s="904">
        <v>160876.84</v>
      </c>
      <c r="C29" s="904">
        <v>430721</v>
      </c>
      <c r="D29" s="902"/>
      <c r="E29" s="902"/>
      <c r="F29" s="903"/>
      <c r="G29" s="902"/>
      <c r="H29" s="902"/>
      <c r="I29" s="902">
        <v>183301</v>
      </c>
      <c r="J29" s="902"/>
      <c r="K29" s="902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902"/>
      <c r="Y29" s="902"/>
      <c r="Z29" s="902"/>
      <c r="AA29" s="902"/>
      <c r="AB29" s="301"/>
      <c r="AC29" s="301"/>
      <c r="AD29" s="902"/>
      <c r="AE29" s="902"/>
      <c r="AF29" s="902"/>
      <c r="AG29" s="902"/>
      <c r="AH29" s="301"/>
      <c r="AI29" s="301"/>
      <c r="AJ29" s="902"/>
      <c r="AK29" s="902"/>
      <c r="AL29" s="903"/>
      <c r="AM29" s="902"/>
      <c r="AN29" s="902"/>
      <c r="AO29" s="902"/>
      <c r="AP29" s="902"/>
      <c r="AQ29" s="902"/>
      <c r="AR29" s="902"/>
      <c r="AS29" s="902"/>
      <c r="AT29" s="902"/>
      <c r="AU29" s="902"/>
      <c r="AV29" s="903">
        <f t="shared" si="0"/>
        <v>160876.84</v>
      </c>
      <c r="AW29" s="902">
        <f t="shared" si="0"/>
        <v>614022</v>
      </c>
      <c r="AX29" s="903"/>
      <c r="AY29" s="902"/>
      <c r="AZ29" s="903">
        <f t="shared" si="1"/>
        <v>160876.84</v>
      </c>
      <c r="BA29" s="301">
        <f t="shared" si="1"/>
        <v>614022</v>
      </c>
    </row>
    <row r="30" spans="1:53">
      <c r="A30" s="67" t="s">
        <v>293</v>
      </c>
      <c r="B30" s="904"/>
      <c r="C30" s="904"/>
      <c r="D30" s="902"/>
      <c r="E30" s="902"/>
      <c r="F30" s="903"/>
      <c r="G30" s="902"/>
      <c r="H30" s="902"/>
      <c r="I30" s="902"/>
      <c r="J30" s="902"/>
      <c r="K30" s="902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902"/>
      <c r="Y30" s="902"/>
      <c r="Z30" s="902"/>
      <c r="AA30" s="902"/>
      <c r="AB30" s="301"/>
      <c r="AC30" s="301"/>
      <c r="AD30" s="902"/>
      <c r="AE30" s="902"/>
      <c r="AF30" s="902"/>
      <c r="AG30" s="902"/>
      <c r="AH30" s="301"/>
      <c r="AI30" s="301"/>
      <c r="AJ30" s="902"/>
      <c r="AK30" s="902"/>
      <c r="AL30" s="903"/>
      <c r="AM30" s="902"/>
      <c r="AN30" s="902"/>
      <c r="AO30" s="902"/>
      <c r="AP30" s="902"/>
      <c r="AQ30" s="902"/>
      <c r="AR30" s="902"/>
      <c r="AS30" s="902"/>
      <c r="AT30" s="902"/>
      <c r="AU30" s="902"/>
      <c r="AV30" s="903">
        <f t="shared" si="0"/>
        <v>0</v>
      </c>
      <c r="AW30" s="902">
        <f t="shared" si="0"/>
        <v>0</v>
      </c>
      <c r="AX30" s="903"/>
      <c r="AY30" s="902"/>
      <c r="AZ30" s="903">
        <f t="shared" si="1"/>
        <v>0</v>
      </c>
      <c r="BA30" s="301">
        <f t="shared" si="1"/>
        <v>0</v>
      </c>
    </row>
    <row r="31" spans="1:53">
      <c r="A31" s="905" t="s">
        <v>294</v>
      </c>
      <c r="B31" s="904"/>
      <c r="C31" s="904"/>
      <c r="D31" s="902"/>
      <c r="E31" s="902"/>
      <c r="F31" s="903">
        <v>8248</v>
      </c>
      <c r="G31" s="902">
        <v>8981</v>
      </c>
      <c r="H31" s="902">
        <v>109143.15</v>
      </c>
      <c r="I31" s="902">
        <v>107485</v>
      </c>
      <c r="J31" s="902">
        <v>13377.6</v>
      </c>
      <c r="K31" s="902">
        <v>13820</v>
      </c>
      <c r="L31" s="301">
        <v>24902.04</v>
      </c>
      <c r="M31" s="301">
        <v>52870</v>
      </c>
      <c r="N31" s="301">
        <v>695</v>
      </c>
      <c r="O31" s="301">
        <v>2509</v>
      </c>
      <c r="P31" s="301">
        <v>515</v>
      </c>
      <c r="Q31" s="301">
        <v>731</v>
      </c>
      <c r="R31" s="301">
        <f>34109+2189</f>
        <v>36298</v>
      </c>
      <c r="S31" s="301">
        <f>39394+750</f>
        <v>40144</v>
      </c>
      <c r="T31" s="301">
        <v>22273</v>
      </c>
      <c r="U31" s="301">
        <v>28270</v>
      </c>
      <c r="V31" s="301"/>
      <c r="W31" s="301"/>
      <c r="X31" s="902">
        <v>130370.2</v>
      </c>
      <c r="Y31" s="902">
        <v>126108</v>
      </c>
      <c r="Z31" s="902">
        <v>15032.1</v>
      </c>
      <c r="AA31" s="902">
        <v>20896</v>
      </c>
      <c r="AB31" s="301">
        <v>10245.219999999999</v>
      </c>
      <c r="AC31" s="301">
        <v>27731.83</v>
      </c>
      <c r="AD31" s="902">
        <v>25016.87</v>
      </c>
      <c r="AE31" s="902">
        <v>29469</v>
      </c>
      <c r="AF31" s="902"/>
      <c r="AG31" s="902"/>
      <c r="AH31" s="301">
        <v>55117.17</v>
      </c>
      <c r="AI31" s="301">
        <v>78882</v>
      </c>
      <c r="AJ31" s="902">
        <v>29782</v>
      </c>
      <c r="AK31" s="902">
        <v>38188</v>
      </c>
      <c r="AL31" s="903"/>
      <c r="AM31" s="902"/>
      <c r="AN31" s="902">
        <v>132101.15</v>
      </c>
      <c r="AO31" s="902">
        <v>111822</v>
      </c>
      <c r="AP31" s="902">
        <v>6775.57</v>
      </c>
      <c r="AQ31" s="902">
        <f>305+2637+74</f>
        <v>3016</v>
      </c>
      <c r="AR31" s="902">
        <v>23305.279999999999</v>
      </c>
      <c r="AS31" s="902">
        <v>24875</v>
      </c>
      <c r="AT31" s="902">
        <v>63940.75</v>
      </c>
      <c r="AU31" s="902">
        <v>101843</v>
      </c>
      <c r="AV31" s="903">
        <f t="shared" si="0"/>
        <v>707138.09999999986</v>
      </c>
      <c r="AW31" s="902">
        <f t="shared" si="0"/>
        <v>817640.83000000007</v>
      </c>
      <c r="AX31" s="903"/>
      <c r="AY31" s="902"/>
      <c r="AZ31" s="903">
        <f t="shared" si="1"/>
        <v>707138.09999999986</v>
      </c>
      <c r="BA31" s="301">
        <f t="shared" si="1"/>
        <v>817640.83000000007</v>
      </c>
    </row>
    <row r="32" spans="1:53">
      <c r="A32" s="67" t="s">
        <v>281</v>
      </c>
      <c r="B32" s="904">
        <v>1196.6300000000001</v>
      </c>
      <c r="C32" s="904"/>
      <c r="D32" s="902"/>
      <c r="E32" s="902"/>
      <c r="F32" s="903"/>
      <c r="G32" s="902"/>
      <c r="H32" s="902"/>
      <c r="I32" s="902"/>
      <c r="J32" s="902"/>
      <c r="K32" s="902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902"/>
      <c r="Y32" s="902"/>
      <c r="Z32" s="902"/>
      <c r="AA32" s="902"/>
      <c r="AB32" s="301"/>
      <c r="AC32" s="301"/>
      <c r="AD32" s="902"/>
      <c r="AE32" s="902"/>
      <c r="AF32" s="902"/>
      <c r="AG32" s="902"/>
      <c r="AH32" s="301"/>
      <c r="AI32" s="301"/>
      <c r="AJ32" s="902"/>
      <c r="AK32" s="902"/>
      <c r="AL32" s="903"/>
      <c r="AM32" s="902"/>
      <c r="AN32" s="902"/>
      <c r="AO32" s="902"/>
      <c r="AP32" s="902"/>
      <c r="AQ32" s="902"/>
      <c r="AR32" s="902"/>
      <c r="AS32" s="902"/>
      <c r="AT32" s="902"/>
      <c r="AU32" s="902"/>
      <c r="AV32" s="903">
        <f t="shared" si="0"/>
        <v>1196.6300000000001</v>
      </c>
      <c r="AW32" s="902">
        <f t="shared" si="0"/>
        <v>0</v>
      </c>
      <c r="AX32" s="903"/>
      <c r="AY32" s="902"/>
      <c r="AZ32" s="903">
        <f t="shared" si="1"/>
        <v>1196.6300000000001</v>
      </c>
      <c r="BA32" s="301">
        <f t="shared" si="1"/>
        <v>0</v>
      </c>
    </row>
    <row r="33" spans="1:53">
      <c r="A33" s="67" t="s">
        <v>282</v>
      </c>
      <c r="B33" s="904"/>
      <c r="C33" s="904"/>
      <c r="D33" s="902">
        <v>16894</v>
      </c>
      <c r="E33" s="902">
        <v>21183</v>
      </c>
      <c r="F33" s="903"/>
      <c r="G33" s="902"/>
      <c r="H33" s="902"/>
      <c r="I33" s="902"/>
      <c r="J33" s="902"/>
      <c r="K33" s="902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>
        <v>70874</v>
      </c>
      <c r="W33" s="301">
        <v>88684</v>
      </c>
      <c r="X33" s="902"/>
      <c r="Y33" s="902"/>
      <c r="Z33" s="902"/>
      <c r="AA33" s="902"/>
      <c r="AB33" s="301"/>
      <c r="AC33" s="301"/>
      <c r="AD33" s="902"/>
      <c r="AE33" s="902"/>
      <c r="AF33" s="902">
        <v>309623</v>
      </c>
      <c r="AG33" s="902">
        <v>313124</v>
      </c>
      <c r="AH33" s="301"/>
      <c r="AI33" s="301"/>
      <c r="AJ33" s="902"/>
      <c r="AK33" s="902"/>
      <c r="AL33" s="903"/>
      <c r="AM33" s="902"/>
      <c r="AN33" s="902"/>
      <c r="AO33" s="902"/>
      <c r="AP33" s="902"/>
      <c r="AQ33" s="902"/>
      <c r="AR33" s="902"/>
      <c r="AS33" s="902"/>
      <c r="AT33" s="902"/>
      <c r="AU33" s="902"/>
      <c r="AV33" s="903">
        <f t="shared" si="0"/>
        <v>397391</v>
      </c>
      <c r="AW33" s="902">
        <f t="shared" si="0"/>
        <v>422991</v>
      </c>
      <c r="AX33" s="903"/>
      <c r="AY33" s="902"/>
      <c r="AZ33" s="903">
        <f t="shared" si="1"/>
        <v>397391</v>
      </c>
      <c r="BA33" s="301">
        <f t="shared" si="1"/>
        <v>422991</v>
      </c>
    </row>
    <row r="34" spans="1:53">
      <c r="A34" s="67" t="s">
        <v>74</v>
      </c>
      <c r="B34" s="904"/>
      <c r="C34" s="904"/>
      <c r="D34" s="902"/>
      <c r="E34" s="902"/>
      <c r="F34" s="903"/>
      <c r="G34" s="902"/>
      <c r="H34" s="902"/>
      <c r="I34" s="902"/>
      <c r="J34" s="902"/>
      <c r="K34" s="902"/>
      <c r="L34" s="301"/>
      <c r="M34" s="301"/>
      <c r="N34" s="301"/>
      <c r="O34" s="301"/>
      <c r="P34" s="301">
        <v>377</v>
      </c>
      <c r="Q34" s="301">
        <v>21</v>
      </c>
      <c r="R34" s="301"/>
      <c r="S34" s="301"/>
      <c r="T34" s="301"/>
      <c r="U34" s="301"/>
      <c r="V34" s="301"/>
      <c r="W34" s="301"/>
      <c r="X34" s="902"/>
      <c r="Y34" s="902"/>
      <c r="Z34" s="902"/>
      <c r="AA34" s="902"/>
      <c r="AB34" s="301"/>
      <c r="AC34" s="301"/>
      <c r="AD34" s="902">
        <v>28717</v>
      </c>
      <c r="AE34" s="902">
        <v>10458</v>
      </c>
      <c r="AF34" s="902"/>
      <c r="AG34" s="902"/>
      <c r="AH34" s="301"/>
      <c r="AI34" s="301"/>
      <c r="AJ34" s="902"/>
      <c r="AK34" s="902">
        <v>1720</v>
      </c>
      <c r="AL34" s="903"/>
      <c r="AM34" s="902"/>
      <c r="AN34" s="902"/>
      <c r="AO34" s="902"/>
      <c r="AP34" s="902"/>
      <c r="AQ34" s="902"/>
      <c r="AR34" s="902">
        <v>2516.8200000000002</v>
      </c>
      <c r="AS34" s="902"/>
      <c r="AT34" s="902"/>
      <c r="AU34" s="902"/>
      <c r="AV34" s="903">
        <f t="shared" si="0"/>
        <v>31610.82</v>
      </c>
      <c r="AW34" s="902">
        <f t="shared" si="0"/>
        <v>12199</v>
      </c>
      <c r="AX34" s="903"/>
      <c r="AY34" s="902"/>
      <c r="AZ34" s="903">
        <f t="shared" si="1"/>
        <v>31610.82</v>
      </c>
      <c r="BA34" s="301">
        <f t="shared" si="1"/>
        <v>12199</v>
      </c>
    </row>
    <row r="35" spans="1:53" s="912" customFormat="1" ht="18">
      <c r="A35" s="905" t="s">
        <v>295</v>
      </c>
      <c r="B35" s="906">
        <v>476165101</v>
      </c>
      <c r="C35" s="906">
        <v>5810578</v>
      </c>
      <c r="D35" s="911">
        <v>512416</v>
      </c>
      <c r="E35" s="911">
        <v>584489</v>
      </c>
      <c r="F35" s="909">
        <v>1123560</v>
      </c>
      <c r="G35" s="911">
        <v>1280634</v>
      </c>
      <c r="H35" s="911">
        <v>6543154.9199999999</v>
      </c>
      <c r="I35" s="911">
        <v>8234117</v>
      </c>
      <c r="J35" s="911">
        <v>1096919</v>
      </c>
      <c r="K35" s="911">
        <v>1350115</v>
      </c>
      <c r="L35" s="910">
        <v>1705349</v>
      </c>
      <c r="M35" s="910">
        <v>2314671</v>
      </c>
      <c r="N35" s="910">
        <v>561003</v>
      </c>
      <c r="O35" s="910">
        <v>633448</v>
      </c>
      <c r="P35" s="910">
        <v>527585.77</v>
      </c>
      <c r="Q35" s="910">
        <v>685353</v>
      </c>
      <c r="R35" s="910">
        <v>1776221</v>
      </c>
      <c r="S35" s="910">
        <v>2038021</v>
      </c>
      <c r="T35" s="910">
        <v>651133</v>
      </c>
      <c r="U35" s="910">
        <v>763193</v>
      </c>
      <c r="V35" s="910">
        <v>15008510</v>
      </c>
      <c r="W35" s="910">
        <v>19134601</v>
      </c>
      <c r="X35" s="911">
        <v>18089084.469999999</v>
      </c>
      <c r="Y35" s="911">
        <v>23657969</v>
      </c>
      <c r="Z35" s="911">
        <v>1097054.23</v>
      </c>
      <c r="AA35" s="911">
        <v>1334489</v>
      </c>
      <c r="AB35" s="910">
        <v>1508415.94</v>
      </c>
      <c r="AC35" s="910">
        <v>1793419.6</v>
      </c>
      <c r="AD35" s="911">
        <v>3896970.3</v>
      </c>
      <c r="AE35" s="911">
        <v>5055210</v>
      </c>
      <c r="AF35" s="911">
        <v>7922093</v>
      </c>
      <c r="AG35" s="911">
        <v>10051160</v>
      </c>
      <c r="AH35" s="910">
        <v>2575746.2000000002</v>
      </c>
      <c r="AI35" s="910">
        <v>3214889</v>
      </c>
      <c r="AJ35" s="911">
        <v>2252304.9</v>
      </c>
      <c r="AK35" s="911">
        <v>2671672</v>
      </c>
      <c r="AL35" s="909"/>
      <c r="AM35" s="911"/>
      <c r="AN35" s="911">
        <v>18824661.5</v>
      </c>
      <c r="AO35" s="911">
        <v>24512137</v>
      </c>
      <c r="AP35" s="911">
        <v>571527.59</v>
      </c>
      <c r="AQ35" s="911">
        <v>706112</v>
      </c>
      <c r="AR35" s="911">
        <v>1052282.3400000001</v>
      </c>
      <c r="AS35" s="911">
        <v>1356794</v>
      </c>
      <c r="AT35" s="911">
        <v>3809393.36</v>
      </c>
      <c r="AU35" s="911">
        <v>5328663</v>
      </c>
      <c r="AV35" s="909">
        <f t="shared" si="0"/>
        <v>567270486.5200001</v>
      </c>
      <c r="AW35" s="911">
        <f t="shared" si="0"/>
        <v>122511734.59999999</v>
      </c>
      <c r="AX35" s="909"/>
      <c r="AY35" s="911"/>
      <c r="AZ35" s="909">
        <f t="shared" si="1"/>
        <v>567270486.5200001</v>
      </c>
      <c r="BA35" s="910">
        <f t="shared" si="1"/>
        <v>122511734.59999999</v>
      </c>
    </row>
    <row r="36" spans="1:53">
      <c r="A36" s="905" t="s">
        <v>296</v>
      </c>
      <c r="B36" s="904"/>
      <c r="C36" s="904"/>
      <c r="D36" s="902"/>
      <c r="E36" s="902"/>
      <c r="F36" s="903"/>
      <c r="G36" s="902"/>
      <c r="H36" s="902"/>
      <c r="I36" s="902"/>
      <c r="J36" s="902"/>
      <c r="K36" s="902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902"/>
      <c r="Y36" s="902"/>
      <c r="Z36" s="902"/>
      <c r="AA36" s="902"/>
      <c r="AB36" s="301"/>
      <c r="AC36" s="301"/>
      <c r="AD36" s="902"/>
      <c r="AE36" s="902"/>
      <c r="AF36" s="902"/>
      <c r="AG36" s="902"/>
      <c r="AH36" s="301"/>
      <c r="AI36" s="301"/>
      <c r="AJ36" s="902"/>
      <c r="AK36" s="902"/>
      <c r="AL36" s="903"/>
      <c r="AM36" s="902"/>
      <c r="AN36" s="902"/>
      <c r="AO36" s="902"/>
      <c r="AP36" s="902"/>
      <c r="AQ36" s="902"/>
      <c r="AR36" s="902"/>
      <c r="AS36" s="902"/>
      <c r="AT36" s="902"/>
      <c r="AU36" s="902"/>
      <c r="AV36" s="903">
        <f t="shared" si="0"/>
        <v>0</v>
      </c>
      <c r="AW36" s="902">
        <f t="shared" si="0"/>
        <v>0</v>
      </c>
      <c r="AX36" s="903"/>
      <c r="AY36" s="902"/>
      <c r="AZ36" s="903">
        <f t="shared" si="1"/>
        <v>0</v>
      </c>
      <c r="BA36" s="301">
        <f t="shared" si="1"/>
        <v>0</v>
      </c>
    </row>
    <row r="37" spans="1:53">
      <c r="A37" s="905" t="s">
        <v>297</v>
      </c>
      <c r="B37" s="904"/>
      <c r="C37" s="904"/>
      <c r="D37" s="902"/>
      <c r="E37" s="902"/>
      <c r="F37" s="903"/>
      <c r="G37" s="902"/>
      <c r="H37" s="902"/>
      <c r="I37" s="902"/>
      <c r="J37" s="902"/>
      <c r="K37" s="902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902"/>
      <c r="Y37" s="902"/>
      <c r="Z37" s="902"/>
      <c r="AA37" s="902"/>
      <c r="AB37" s="301"/>
      <c r="AC37" s="301"/>
      <c r="AD37" s="902"/>
      <c r="AE37" s="902"/>
      <c r="AF37" s="902"/>
      <c r="AG37" s="902"/>
      <c r="AH37" s="301"/>
      <c r="AI37" s="301"/>
      <c r="AJ37" s="902"/>
      <c r="AK37" s="902"/>
      <c r="AL37" s="903"/>
      <c r="AM37" s="902"/>
      <c r="AN37" s="902"/>
      <c r="AO37" s="902"/>
      <c r="AP37" s="902"/>
      <c r="AQ37" s="902"/>
      <c r="AR37" s="902"/>
      <c r="AS37" s="902"/>
      <c r="AT37" s="902"/>
      <c r="AU37" s="902"/>
      <c r="AV37" s="903">
        <f t="shared" si="0"/>
        <v>0</v>
      </c>
      <c r="AW37" s="902">
        <f t="shared" si="0"/>
        <v>0</v>
      </c>
      <c r="AX37" s="903"/>
      <c r="AY37" s="902"/>
      <c r="AZ37" s="903">
        <f t="shared" si="1"/>
        <v>0</v>
      </c>
      <c r="BA37" s="301">
        <f t="shared" si="1"/>
        <v>0</v>
      </c>
    </row>
    <row r="38" spans="1:53">
      <c r="A38" s="67" t="s">
        <v>298</v>
      </c>
      <c r="B38" s="904">
        <v>229286.11</v>
      </c>
      <c r="C38" s="904">
        <v>269600</v>
      </c>
      <c r="D38" s="902">
        <v>14976.22</v>
      </c>
      <c r="E38" s="902">
        <v>2827</v>
      </c>
      <c r="F38" s="903">
        <v>60804</v>
      </c>
      <c r="G38" s="902">
        <v>59027</v>
      </c>
      <c r="H38" s="902">
        <v>935671.06</v>
      </c>
      <c r="I38" s="902">
        <v>1065245</v>
      </c>
      <c r="J38" s="902">
        <v>39912.720000000001</v>
      </c>
      <c r="K38" s="902">
        <v>62139</v>
      </c>
      <c r="L38" s="301">
        <v>112552.21</v>
      </c>
      <c r="M38" s="301">
        <v>125226</v>
      </c>
      <c r="N38" s="301">
        <v>83849</v>
      </c>
      <c r="O38" s="301">
        <v>72011</v>
      </c>
      <c r="P38" s="301">
        <v>29794</v>
      </c>
      <c r="Q38" s="301">
        <v>30928</v>
      </c>
      <c r="R38" s="301">
        <v>112891</v>
      </c>
      <c r="S38" s="301">
        <v>116914</v>
      </c>
      <c r="T38" s="301">
        <v>25720</v>
      </c>
      <c r="U38" s="301">
        <v>11378</v>
      </c>
      <c r="V38" s="301">
        <v>743999</v>
      </c>
      <c r="W38" s="301">
        <v>863124</v>
      </c>
      <c r="X38" s="902">
        <v>814640.09</v>
      </c>
      <c r="Y38" s="902">
        <v>855739</v>
      </c>
      <c r="Z38" s="902">
        <v>72453.539999999994</v>
      </c>
      <c r="AA38" s="902">
        <v>71096</v>
      </c>
      <c r="AB38" s="301">
        <v>65847.81</v>
      </c>
      <c r="AC38" s="301">
        <v>55147.01</v>
      </c>
      <c r="AD38" s="902">
        <v>338454.83</v>
      </c>
      <c r="AE38" s="902">
        <v>368007</v>
      </c>
      <c r="AF38" s="902">
        <v>344874.81</v>
      </c>
      <c r="AG38" s="902">
        <v>378376</v>
      </c>
      <c r="AH38" s="301">
        <v>132392.64000000001</v>
      </c>
      <c r="AI38" s="301">
        <v>126529</v>
      </c>
      <c r="AJ38" s="902">
        <v>117881.82</v>
      </c>
      <c r="AK38" s="902">
        <v>126893</v>
      </c>
      <c r="AL38" s="903"/>
      <c r="AM38" s="902"/>
      <c r="AN38" s="902">
        <v>834264.76</v>
      </c>
      <c r="AO38" s="902">
        <v>1002817</v>
      </c>
      <c r="AP38" s="902">
        <v>58729.1</v>
      </c>
      <c r="AQ38" s="902">
        <v>69986</v>
      </c>
      <c r="AR38" s="902">
        <v>59210.27</v>
      </c>
      <c r="AS38" s="902">
        <v>56850</v>
      </c>
      <c r="AT38" s="902">
        <v>206987.78</v>
      </c>
      <c r="AU38" s="902">
        <v>204392</v>
      </c>
      <c r="AV38" s="903">
        <f t="shared" si="0"/>
        <v>5435192.7699999996</v>
      </c>
      <c r="AW38" s="902">
        <f t="shared" si="0"/>
        <v>5994251.0099999998</v>
      </c>
      <c r="AX38" s="903"/>
      <c r="AY38" s="902"/>
      <c r="AZ38" s="903">
        <f t="shared" si="1"/>
        <v>5435192.7699999996</v>
      </c>
      <c r="BA38" s="301">
        <f t="shared" si="1"/>
        <v>5994251.0099999998</v>
      </c>
    </row>
    <row r="39" spans="1:53">
      <c r="A39" s="67" t="s">
        <v>299</v>
      </c>
      <c r="B39" s="904">
        <v>1886047.74</v>
      </c>
      <c r="C39" s="904">
        <v>2418281</v>
      </c>
      <c r="D39" s="902">
        <v>183976.39</v>
      </c>
      <c r="E39" s="902">
        <v>223722</v>
      </c>
      <c r="F39" s="903">
        <v>597750</v>
      </c>
      <c r="G39" s="902">
        <v>678383</v>
      </c>
      <c r="H39" s="902">
        <v>3063397.88</v>
      </c>
      <c r="I39" s="902">
        <v>3752094</v>
      </c>
      <c r="J39" s="902">
        <v>642007.36</v>
      </c>
      <c r="K39" s="902">
        <v>795666</v>
      </c>
      <c r="L39" s="301">
        <v>731901.48</v>
      </c>
      <c r="M39" s="301">
        <v>1022203</v>
      </c>
      <c r="N39" s="301">
        <v>407022</v>
      </c>
      <c r="O39" s="301">
        <v>465986</v>
      </c>
      <c r="P39" s="301">
        <v>219831</v>
      </c>
      <c r="Q39" s="301">
        <v>291669</v>
      </c>
      <c r="R39" s="301">
        <v>1332959</v>
      </c>
      <c r="S39" s="301">
        <v>1522365</v>
      </c>
      <c r="T39" s="301">
        <v>359065</v>
      </c>
      <c r="U39" s="301">
        <v>459647</v>
      </c>
      <c r="V39" s="301">
        <v>7792993</v>
      </c>
      <c r="W39" s="301">
        <v>9942800</v>
      </c>
      <c r="X39" s="902">
        <v>5422049.4500000002</v>
      </c>
      <c r="Y39" s="902">
        <v>7104902</v>
      </c>
      <c r="Z39" s="902">
        <v>676501.41</v>
      </c>
      <c r="AA39" s="902">
        <v>793577</v>
      </c>
      <c r="AB39" s="301">
        <v>924046.79</v>
      </c>
      <c r="AC39" s="301">
        <v>997921.54</v>
      </c>
      <c r="AD39" s="902">
        <v>2011003.68</v>
      </c>
      <c r="AE39" s="902">
        <v>2504997</v>
      </c>
      <c r="AF39" s="902">
        <v>5133464.6399999997</v>
      </c>
      <c r="AG39" s="902">
        <v>6410736</v>
      </c>
      <c r="AH39" s="301">
        <v>1760193.18</v>
      </c>
      <c r="AI39" s="301">
        <v>2202583</v>
      </c>
      <c r="AJ39" s="902">
        <v>1565464.31</v>
      </c>
      <c r="AK39" s="902">
        <v>1799463</v>
      </c>
      <c r="AL39" s="903"/>
      <c r="AM39" s="902"/>
      <c r="AN39" s="902">
        <v>8251974.9699999997</v>
      </c>
      <c r="AO39" s="902">
        <v>10180226</v>
      </c>
      <c r="AP39" s="902">
        <v>439426.07</v>
      </c>
      <c r="AQ39" s="902">
        <v>553784</v>
      </c>
      <c r="AR39" s="902">
        <v>735047.61</v>
      </c>
      <c r="AS39" s="902">
        <v>987341</v>
      </c>
      <c r="AT39" s="902">
        <v>2288562.7799999998</v>
      </c>
      <c r="AU39" s="902">
        <v>3028074</v>
      </c>
      <c r="AV39" s="903">
        <f t="shared" si="0"/>
        <v>46424685.740000002</v>
      </c>
      <c r="AW39" s="902">
        <f t="shared" si="0"/>
        <v>58136420.539999999</v>
      </c>
      <c r="AX39" s="903"/>
      <c r="AY39" s="902"/>
      <c r="AZ39" s="903">
        <f t="shared" si="1"/>
        <v>46424685.740000002</v>
      </c>
      <c r="BA39" s="301">
        <f t="shared" si="1"/>
        <v>58136420.539999999</v>
      </c>
    </row>
    <row r="40" spans="1:53">
      <c r="A40" s="67" t="s">
        <v>300</v>
      </c>
      <c r="B40" s="904">
        <v>2574339.14</v>
      </c>
      <c r="C40" s="904">
        <v>3023936</v>
      </c>
      <c r="D40" s="902">
        <v>91996.34</v>
      </c>
      <c r="E40" s="902">
        <v>111524</v>
      </c>
      <c r="F40" s="903">
        <v>318512</v>
      </c>
      <c r="G40" s="902">
        <v>389509</v>
      </c>
      <c r="H40" s="902">
        <v>2391769.5099999998</v>
      </c>
      <c r="I40" s="902">
        <v>3298857</v>
      </c>
      <c r="J40" s="902">
        <v>116780.15</v>
      </c>
      <c r="K40" s="902">
        <v>167770</v>
      </c>
      <c r="L40" s="301">
        <v>951531.58</v>
      </c>
      <c r="M40" s="301">
        <v>1316040</v>
      </c>
      <c r="N40" s="301">
        <v>36265</v>
      </c>
      <c r="O40" s="301">
        <v>43821</v>
      </c>
      <c r="P40" s="301">
        <v>101018</v>
      </c>
      <c r="Q40" s="301">
        <v>165334</v>
      </c>
      <c r="R40" s="301">
        <v>189623</v>
      </c>
      <c r="S40" s="301">
        <v>236958</v>
      </c>
      <c r="T40" s="301">
        <v>64106</v>
      </c>
      <c r="U40" s="301">
        <v>74159</v>
      </c>
      <c r="V40" s="301">
        <v>6525210</v>
      </c>
      <c r="W40" s="301">
        <v>8315228</v>
      </c>
      <c r="X40" s="902">
        <v>11739426.960000001</v>
      </c>
      <c r="Y40" s="902">
        <v>15504933</v>
      </c>
      <c r="Z40" s="902">
        <v>292070.73</v>
      </c>
      <c r="AA40" s="902">
        <v>410747</v>
      </c>
      <c r="AB40" s="301">
        <v>472261.79</v>
      </c>
      <c r="AC40" s="301">
        <v>679793.09</v>
      </c>
      <c r="AD40" s="902">
        <v>1577591.77</v>
      </c>
      <c r="AE40" s="902">
        <v>2212361</v>
      </c>
      <c r="AF40" s="902">
        <v>2298034.0099999998</v>
      </c>
      <c r="AG40" s="902">
        <v>3219904</v>
      </c>
      <c r="AH40" s="301">
        <v>594370.56999999995</v>
      </c>
      <c r="AI40" s="301">
        <v>792024</v>
      </c>
      <c r="AJ40" s="902">
        <v>507885.93</v>
      </c>
      <c r="AK40" s="902">
        <v>687345</v>
      </c>
      <c r="AL40" s="903"/>
      <c r="AM40" s="902"/>
      <c r="AN40" s="902">
        <v>9347569.6999999993</v>
      </c>
      <c r="AO40" s="902">
        <v>13001457</v>
      </c>
      <c r="AP40" s="902">
        <v>48809.77</v>
      </c>
      <c r="AQ40" s="902">
        <v>52465</v>
      </c>
      <c r="AR40" s="902">
        <v>229591.31</v>
      </c>
      <c r="AS40" s="902">
        <v>277283</v>
      </c>
      <c r="AT40" s="902">
        <v>1245362.08</v>
      </c>
      <c r="AU40" s="902">
        <v>1937964</v>
      </c>
      <c r="AV40" s="903">
        <f t="shared" si="0"/>
        <v>41714125.339999996</v>
      </c>
      <c r="AW40" s="902">
        <f t="shared" si="0"/>
        <v>55919412.090000004</v>
      </c>
      <c r="AX40" s="903"/>
      <c r="AY40" s="902"/>
      <c r="AZ40" s="903">
        <f t="shared" si="1"/>
        <v>41714125.339999996</v>
      </c>
      <c r="BA40" s="301">
        <f t="shared" si="1"/>
        <v>55919412.090000004</v>
      </c>
    </row>
    <row r="41" spans="1:53">
      <c r="A41" s="67" t="s">
        <v>301</v>
      </c>
      <c r="B41" s="904">
        <v>18648.75</v>
      </c>
      <c r="C41" s="904">
        <v>25688</v>
      </c>
      <c r="D41" s="902">
        <v>6967.37</v>
      </c>
      <c r="E41" s="902">
        <v>7195</v>
      </c>
      <c r="F41" s="903"/>
      <c r="G41" s="902"/>
      <c r="H41" s="902">
        <v>44461.73</v>
      </c>
      <c r="I41" s="902">
        <v>49525</v>
      </c>
      <c r="J41" s="902">
        <v>2117.35</v>
      </c>
      <c r="K41" s="902">
        <v>1882</v>
      </c>
      <c r="L41" s="301">
        <v>180.8</v>
      </c>
      <c r="M41" s="301">
        <v>532</v>
      </c>
      <c r="N41" s="301">
        <v>4853</v>
      </c>
      <c r="O41" s="301">
        <v>7611</v>
      </c>
      <c r="P41" s="301">
        <v>1253</v>
      </c>
      <c r="Q41" s="301">
        <v>1781</v>
      </c>
      <c r="R41" s="301">
        <v>40091</v>
      </c>
      <c r="S41" s="301">
        <v>57816</v>
      </c>
      <c r="T41" s="301">
        <v>2068</v>
      </c>
      <c r="U41" s="301">
        <v>3209</v>
      </c>
      <c r="V41" s="301">
        <v>32466</v>
      </c>
      <c r="W41" s="301">
        <v>53931</v>
      </c>
      <c r="X41" s="902">
        <v>54037.56</v>
      </c>
      <c r="Y41" s="902">
        <v>78572</v>
      </c>
      <c r="Z41" s="902">
        <v>789.47</v>
      </c>
      <c r="AA41" s="902">
        <v>1142</v>
      </c>
      <c r="AB41" s="301">
        <v>1076.01</v>
      </c>
      <c r="AC41" s="301">
        <v>1837.35</v>
      </c>
      <c r="AD41" s="902">
        <v>9396.7000000000007</v>
      </c>
      <c r="AE41" s="902">
        <v>7254</v>
      </c>
      <c r="AF41" s="902">
        <v>47424.33</v>
      </c>
      <c r="AG41" s="902">
        <v>59685</v>
      </c>
      <c r="AH41" s="301">
        <v>6599.75</v>
      </c>
      <c r="AI41" s="301">
        <v>11792</v>
      </c>
      <c r="AJ41" s="902">
        <v>5510.58</v>
      </c>
      <c r="AK41" s="902">
        <v>7080</v>
      </c>
      <c r="AL41" s="903"/>
      <c r="AM41" s="902"/>
      <c r="AN41" s="902">
        <v>32407.59</v>
      </c>
      <c r="AO41" s="902">
        <v>33832</v>
      </c>
      <c r="AP41" s="902">
        <v>5139.74</v>
      </c>
      <c r="AQ41" s="902">
        <v>7489</v>
      </c>
      <c r="AR41" s="902">
        <v>1107.08</v>
      </c>
      <c r="AS41" s="902">
        <v>1506</v>
      </c>
      <c r="AT41" s="902">
        <v>45576.32</v>
      </c>
      <c r="AU41" s="902">
        <v>49070</v>
      </c>
      <c r="AV41" s="903">
        <f t="shared" si="0"/>
        <v>362172.13000000006</v>
      </c>
      <c r="AW41" s="902">
        <f t="shared" si="0"/>
        <v>468429.35</v>
      </c>
      <c r="AX41" s="903"/>
      <c r="AY41" s="902"/>
      <c r="AZ41" s="903">
        <f t="shared" si="1"/>
        <v>362172.13000000006</v>
      </c>
      <c r="BA41" s="301">
        <f t="shared" si="1"/>
        <v>468429.35</v>
      </c>
    </row>
    <row r="42" spans="1:53">
      <c r="A42" s="67" t="s">
        <v>302</v>
      </c>
      <c r="B42" s="904">
        <v>9329.08</v>
      </c>
      <c r="C42" s="904">
        <v>9335</v>
      </c>
      <c r="D42" s="902">
        <v>9308.6200000000008</v>
      </c>
      <c r="E42" s="902">
        <v>8893</v>
      </c>
      <c r="F42" s="903">
        <v>1276</v>
      </c>
      <c r="G42" s="902">
        <v>1472</v>
      </c>
      <c r="H42" s="902">
        <v>35948.25</v>
      </c>
      <c r="I42" s="902">
        <v>38111</v>
      </c>
      <c r="J42" s="902">
        <v>2052.1799999999998</v>
      </c>
      <c r="K42" s="902">
        <v>2377</v>
      </c>
      <c r="L42" s="301">
        <v>3967.31</v>
      </c>
      <c r="M42" s="301">
        <v>4258</v>
      </c>
      <c r="N42" s="301">
        <v>2984</v>
      </c>
      <c r="O42" s="301">
        <v>2012</v>
      </c>
      <c r="P42" s="301">
        <v>9817</v>
      </c>
      <c r="Q42" s="301">
        <v>8299</v>
      </c>
      <c r="R42" s="301">
        <v>3279</v>
      </c>
      <c r="S42" s="301">
        <v>2696</v>
      </c>
      <c r="T42" s="301">
        <v>8129</v>
      </c>
      <c r="U42" s="301">
        <v>6664</v>
      </c>
      <c r="V42" s="301">
        <v>32719</v>
      </c>
      <c r="W42" s="301">
        <v>33351</v>
      </c>
      <c r="X42" s="902">
        <v>45928.23</v>
      </c>
      <c r="Y42" s="902">
        <v>45660</v>
      </c>
      <c r="Z42" s="902">
        <v>13030.6</v>
      </c>
      <c r="AA42" s="902">
        <v>13293</v>
      </c>
      <c r="AB42" s="301">
        <v>3436.58</v>
      </c>
      <c r="AC42" s="301">
        <v>2281.0300000000002</v>
      </c>
      <c r="AD42" s="902">
        <v>7635.43</v>
      </c>
      <c r="AE42" s="902">
        <v>7819</v>
      </c>
      <c r="AF42" s="902">
        <v>21510.87</v>
      </c>
      <c r="AG42" s="902">
        <v>24212</v>
      </c>
      <c r="AH42" s="301">
        <v>12027.76</v>
      </c>
      <c r="AI42" s="301">
        <v>11663</v>
      </c>
      <c r="AJ42" s="902">
        <v>5154.07</v>
      </c>
      <c r="AK42" s="902">
        <v>5031</v>
      </c>
      <c r="AL42" s="903"/>
      <c r="AM42" s="902"/>
      <c r="AN42" s="902">
        <v>56444.61</v>
      </c>
      <c r="AO42" s="902">
        <v>54688</v>
      </c>
      <c r="AP42" s="902">
        <v>6595.68</v>
      </c>
      <c r="AQ42" s="902">
        <v>5779</v>
      </c>
      <c r="AR42" s="902">
        <v>2517.73</v>
      </c>
      <c r="AS42" s="902">
        <v>2458</v>
      </c>
      <c r="AT42" s="902">
        <v>18604.82</v>
      </c>
      <c r="AU42" s="902">
        <v>19639</v>
      </c>
      <c r="AV42" s="903">
        <f t="shared" si="0"/>
        <v>311695.82</v>
      </c>
      <c r="AW42" s="902">
        <f t="shared" si="0"/>
        <v>309991.03000000003</v>
      </c>
      <c r="AX42" s="903"/>
      <c r="AY42" s="902"/>
      <c r="AZ42" s="903">
        <f t="shared" si="1"/>
        <v>311695.82</v>
      </c>
      <c r="BA42" s="301">
        <f t="shared" si="1"/>
        <v>309991.03000000003</v>
      </c>
    </row>
    <row r="43" spans="1:53">
      <c r="A43" s="905" t="s">
        <v>303</v>
      </c>
      <c r="B43" s="904"/>
      <c r="C43" s="904"/>
      <c r="D43" s="902"/>
      <c r="E43" s="902"/>
      <c r="F43" s="903"/>
      <c r="G43" s="902"/>
      <c r="H43" s="902"/>
      <c r="I43" s="902"/>
      <c r="J43" s="902"/>
      <c r="K43" s="902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902"/>
      <c r="Y43" s="902"/>
      <c r="Z43" s="902"/>
      <c r="AA43" s="902"/>
      <c r="AB43" s="301"/>
      <c r="AC43" s="301"/>
      <c r="AD43" s="902"/>
      <c r="AE43" s="902"/>
      <c r="AF43" s="902"/>
      <c r="AG43" s="902"/>
      <c r="AH43" s="301"/>
      <c r="AI43" s="301"/>
      <c r="AJ43" s="902"/>
      <c r="AK43" s="902"/>
      <c r="AL43" s="903"/>
      <c r="AM43" s="902"/>
      <c r="AN43" s="902"/>
      <c r="AO43" s="902"/>
      <c r="AP43" s="902"/>
      <c r="AQ43" s="902"/>
      <c r="AR43" s="902"/>
      <c r="AS43" s="902"/>
      <c r="AT43" s="902"/>
      <c r="AU43" s="902"/>
      <c r="AV43" s="903">
        <f t="shared" si="0"/>
        <v>0</v>
      </c>
      <c r="AW43" s="902">
        <f t="shared" si="0"/>
        <v>0</v>
      </c>
      <c r="AX43" s="903"/>
      <c r="AY43" s="902"/>
      <c r="AZ43" s="903">
        <f t="shared" si="1"/>
        <v>0</v>
      </c>
      <c r="BA43" s="301">
        <f t="shared" si="1"/>
        <v>0</v>
      </c>
    </row>
    <row r="44" spans="1:53">
      <c r="A44" s="905" t="s">
        <v>304</v>
      </c>
      <c r="B44" s="904"/>
      <c r="C44" s="904"/>
      <c r="D44" s="902"/>
      <c r="E44" s="902"/>
      <c r="F44" s="903"/>
      <c r="G44" s="902"/>
      <c r="H44" s="902"/>
      <c r="I44" s="902"/>
      <c r="J44" s="902"/>
      <c r="K44" s="902"/>
      <c r="L44" s="301"/>
      <c r="M44" s="301"/>
      <c r="N44" s="301">
        <v>1655</v>
      </c>
      <c r="O44" s="301">
        <v>2552</v>
      </c>
      <c r="P44" s="301"/>
      <c r="Q44" s="301"/>
      <c r="R44" s="301">
        <v>864</v>
      </c>
      <c r="S44" s="301">
        <v>240</v>
      </c>
      <c r="T44" s="301"/>
      <c r="U44" s="301"/>
      <c r="V44" s="301"/>
      <c r="W44" s="301"/>
      <c r="X44" s="902"/>
      <c r="Y44" s="902"/>
      <c r="Z44" s="902"/>
      <c r="AA44" s="902"/>
      <c r="AB44" s="301"/>
      <c r="AC44" s="301"/>
      <c r="AD44" s="902"/>
      <c r="AE44" s="902">
        <v>2822</v>
      </c>
      <c r="AF44" s="902"/>
      <c r="AG44" s="902"/>
      <c r="AH44" s="301"/>
      <c r="AI44" s="301"/>
      <c r="AJ44" s="902"/>
      <c r="AK44" s="902"/>
      <c r="AL44" s="903"/>
      <c r="AM44" s="902"/>
      <c r="AN44" s="902"/>
      <c r="AO44" s="902"/>
      <c r="AP44" s="902"/>
      <c r="AQ44" s="902"/>
      <c r="AR44" s="902"/>
      <c r="AS44" s="902"/>
      <c r="AT44" s="902"/>
      <c r="AU44" s="902"/>
      <c r="AV44" s="903">
        <f t="shared" si="0"/>
        <v>2519</v>
      </c>
      <c r="AW44" s="902">
        <f t="shared" si="0"/>
        <v>5614</v>
      </c>
      <c r="AX44" s="903"/>
      <c r="AY44" s="902"/>
      <c r="AZ44" s="903">
        <f t="shared" si="1"/>
        <v>2519</v>
      </c>
      <c r="BA44" s="301">
        <f t="shared" si="1"/>
        <v>5614</v>
      </c>
    </row>
    <row r="45" spans="1:53">
      <c r="A45" s="67" t="s">
        <v>305</v>
      </c>
      <c r="B45" s="904">
        <v>23906</v>
      </c>
      <c r="C45" s="904">
        <v>25568</v>
      </c>
      <c r="D45" s="902">
        <v>1957.81</v>
      </c>
      <c r="E45" s="902">
        <v>1522</v>
      </c>
      <c r="F45" s="903">
        <v>2560</v>
      </c>
      <c r="G45" s="902">
        <v>2718</v>
      </c>
      <c r="H45" s="902">
        <v>13897.13</v>
      </c>
      <c r="I45" s="902">
        <v>10617</v>
      </c>
      <c r="J45" s="902">
        <v>4732.87</v>
      </c>
      <c r="K45" s="902">
        <v>5241</v>
      </c>
      <c r="L45" s="301">
        <v>9761.5499999999993</v>
      </c>
      <c r="M45" s="301">
        <v>16837</v>
      </c>
      <c r="N45" s="301">
        <v>2562</v>
      </c>
      <c r="O45" s="301">
        <v>5706</v>
      </c>
      <c r="P45" s="301">
        <v>5013</v>
      </c>
      <c r="Q45" s="301">
        <v>6077</v>
      </c>
      <c r="R45" s="301">
        <v>13550</v>
      </c>
      <c r="S45" s="301">
        <v>20214</v>
      </c>
      <c r="T45" s="301">
        <v>4696</v>
      </c>
      <c r="U45" s="301">
        <v>3627</v>
      </c>
      <c r="V45" s="301">
        <v>32234</v>
      </c>
      <c r="W45" s="301">
        <v>43773</v>
      </c>
      <c r="X45" s="902">
        <v>35093.39</v>
      </c>
      <c r="Y45" s="902">
        <v>91620</v>
      </c>
      <c r="Z45" s="902">
        <v>8076.89</v>
      </c>
      <c r="AA45" s="902">
        <v>12233</v>
      </c>
      <c r="AB45" s="301">
        <v>9676</v>
      </c>
      <c r="AC45" s="301">
        <v>18636.7</v>
      </c>
      <c r="AD45" s="902">
        <v>11775</v>
      </c>
      <c r="AE45" s="902">
        <v>8993</v>
      </c>
      <c r="AF45" s="902">
        <v>36151.53</v>
      </c>
      <c r="AG45" s="902">
        <v>31223</v>
      </c>
      <c r="AH45" s="301">
        <v>12156</v>
      </c>
      <c r="AI45" s="301">
        <v>7809</v>
      </c>
      <c r="AJ45" s="902">
        <v>13487.82</v>
      </c>
      <c r="AK45" s="902">
        <v>11822</v>
      </c>
      <c r="AL45" s="903"/>
      <c r="AM45" s="902"/>
      <c r="AN45" s="902">
        <v>215644.37</v>
      </c>
      <c r="AO45" s="902">
        <v>252716</v>
      </c>
      <c r="AP45" s="902">
        <v>7866.85</v>
      </c>
      <c r="AQ45" s="902">
        <v>7192</v>
      </c>
      <c r="AR45" s="902">
        <v>4869.8999999999996</v>
      </c>
      <c r="AS45" s="902">
        <v>9155</v>
      </c>
      <c r="AT45" s="902">
        <v>10633.4</v>
      </c>
      <c r="AU45" s="902">
        <v>23740</v>
      </c>
      <c r="AV45" s="903">
        <f t="shared" si="0"/>
        <v>480301.51</v>
      </c>
      <c r="AW45" s="902">
        <f t="shared" si="0"/>
        <v>617039.69999999995</v>
      </c>
      <c r="AX45" s="903"/>
      <c r="AY45" s="902"/>
      <c r="AZ45" s="903">
        <f t="shared" si="1"/>
        <v>480301.51</v>
      </c>
      <c r="BA45" s="301">
        <f t="shared" si="1"/>
        <v>617039.69999999995</v>
      </c>
    </row>
    <row r="46" spans="1:53">
      <c r="A46" s="67" t="s">
        <v>306</v>
      </c>
      <c r="B46" s="904">
        <v>135363</v>
      </c>
      <c r="C46" s="904">
        <v>267865</v>
      </c>
      <c r="D46" s="902">
        <v>15253.99</v>
      </c>
      <c r="E46" s="902">
        <v>19984</v>
      </c>
      <c r="F46" s="903">
        <v>44805</v>
      </c>
      <c r="G46" s="902">
        <v>51333</v>
      </c>
      <c r="H46" s="902">
        <v>223377.12</v>
      </c>
      <c r="I46" s="902">
        <v>225235</v>
      </c>
      <c r="J46" s="902">
        <v>46493.94</v>
      </c>
      <c r="K46" s="902">
        <v>50695</v>
      </c>
      <c r="L46" s="301">
        <v>42925.07</v>
      </c>
      <c r="M46" s="301">
        <v>46374</v>
      </c>
      <c r="N46" s="301">
        <v>36086</v>
      </c>
      <c r="O46" s="301">
        <v>37885</v>
      </c>
      <c r="P46" s="301">
        <v>31173</v>
      </c>
      <c r="Q46" s="301">
        <v>39351</v>
      </c>
      <c r="R46" s="301">
        <v>61374</v>
      </c>
      <c r="S46" s="301">
        <v>80331</v>
      </c>
      <c r="T46" s="301">
        <v>20440</v>
      </c>
      <c r="U46" s="301">
        <v>27672</v>
      </c>
      <c r="V46" s="301">
        <v>386395</v>
      </c>
      <c r="W46" s="301">
        <v>514643</v>
      </c>
      <c r="X46" s="902">
        <v>329441.15000000002</v>
      </c>
      <c r="Y46" s="902">
        <v>495727</v>
      </c>
      <c r="Z46" s="902">
        <v>50503.7</v>
      </c>
      <c r="AA46" s="902">
        <v>57271</v>
      </c>
      <c r="AB46" s="301">
        <v>44142.29</v>
      </c>
      <c r="AC46" s="301">
        <v>73300</v>
      </c>
      <c r="AD46" s="902">
        <v>102951</v>
      </c>
      <c r="AE46" s="902">
        <v>142616</v>
      </c>
      <c r="AF46" s="902">
        <v>208682.23999999999</v>
      </c>
      <c r="AG46" s="902">
        <v>304058</v>
      </c>
      <c r="AH46" s="301">
        <v>98175</v>
      </c>
      <c r="AI46" s="301">
        <v>125777</v>
      </c>
      <c r="AJ46" s="902">
        <v>105104.72</v>
      </c>
      <c r="AK46" s="902">
        <v>109794</v>
      </c>
      <c r="AL46" s="903"/>
      <c r="AM46" s="902"/>
      <c r="AN46" s="902">
        <v>442148.21</v>
      </c>
      <c r="AO46" s="902">
        <v>444573</v>
      </c>
      <c r="AP46" s="902">
        <v>32423.360000000001</v>
      </c>
      <c r="AQ46" s="902">
        <v>37868</v>
      </c>
      <c r="AR46" s="902">
        <v>41977.85</v>
      </c>
      <c r="AS46" s="902">
        <v>52078</v>
      </c>
      <c r="AT46" s="902">
        <v>110033.92</v>
      </c>
      <c r="AU46" s="902">
        <v>268001</v>
      </c>
      <c r="AV46" s="903">
        <f t="shared" si="0"/>
        <v>2609269.56</v>
      </c>
      <c r="AW46" s="902">
        <f t="shared" si="0"/>
        <v>3472431</v>
      </c>
      <c r="AX46" s="903"/>
      <c r="AY46" s="902"/>
      <c r="AZ46" s="903">
        <f t="shared" si="1"/>
        <v>2609269.56</v>
      </c>
      <c r="BA46" s="301">
        <f t="shared" si="1"/>
        <v>3472431</v>
      </c>
    </row>
    <row r="47" spans="1:53" s="912" customFormat="1" ht="18">
      <c r="A47" s="905" t="s">
        <v>307</v>
      </c>
      <c r="B47" s="906">
        <f>SUM(B45:B46)</f>
        <v>159269</v>
      </c>
      <c r="C47" s="906">
        <f>SUM(C45:C46)</f>
        <v>293433</v>
      </c>
      <c r="D47" s="906">
        <f t="shared" ref="D47" si="24">SUM(D45:D46)</f>
        <v>17211.8</v>
      </c>
      <c r="E47" s="906">
        <f t="shared" ref="E47:L47" si="25">SUM(E45:E46)</f>
        <v>21506</v>
      </c>
      <c r="F47" s="906">
        <f t="shared" si="25"/>
        <v>47365</v>
      </c>
      <c r="G47" s="906">
        <f t="shared" si="25"/>
        <v>54051</v>
      </c>
      <c r="H47" s="906">
        <f t="shared" ref="H47" si="26">SUM(H45:H46)</f>
        <v>237274.25</v>
      </c>
      <c r="I47" s="906">
        <f t="shared" si="25"/>
        <v>235852</v>
      </c>
      <c r="J47" s="906">
        <f t="shared" ref="J47" si="27">SUM(J45:J46)</f>
        <v>51226.810000000005</v>
      </c>
      <c r="K47" s="906">
        <f t="shared" si="25"/>
        <v>55936</v>
      </c>
      <c r="L47" s="906">
        <f t="shared" si="25"/>
        <v>52686.619999999995</v>
      </c>
      <c r="M47" s="906">
        <f t="shared" ref="M47:AE47" si="28">SUM(M45:M46)</f>
        <v>63211</v>
      </c>
      <c r="N47" s="906">
        <f t="shared" ref="N47" si="29">SUM(N45:N46)</f>
        <v>38648</v>
      </c>
      <c r="O47" s="906">
        <f t="shared" si="28"/>
        <v>43591</v>
      </c>
      <c r="P47" s="906">
        <f t="shared" ref="P47" si="30">SUM(P45:P46)</f>
        <v>36186</v>
      </c>
      <c r="Q47" s="906">
        <f t="shared" si="28"/>
        <v>45428</v>
      </c>
      <c r="R47" s="906">
        <f t="shared" ref="R47" si="31">SUM(R45:R46)</f>
        <v>74924</v>
      </c>
      <c r="S47" s="906">
        <f t="shared" si="28"/>
        <v>100545</v>
      </c>
      <c r="T47" s="906">
        <f t="shared" ref="T47" si="32">SUM(T45:T46)</f>
        <v>25136</v>
      </c>
      <c r="U47" s="906">
        <f t="shared" si="28"/>
        <v>31299</v>
      </c>
      <c r="V47" s="906">
        <v>418629</v>
      </c>
      <c r="W47" s="906">
        <v>558416</v>
      </c>
      <c r="X47" s="906">
        <v>364534.54</v>
      </c>
      <c r="Y47" s="906">
        <v>587347</v>
      </c>
      <c r="Z47" s="906">
        <f t="shared" ref="Z47" si="33">SUM(Z45:Z46)</f>
        <v>58580.59</v>
      </c>
      <c r="AA47" s="906">
        <f t="shared" si="28"/>
        <v>69504</v>
      </c>
      <c r="AB47" s="906">
        <f t="shared" ref="AB47" si="34">SUM(AB45:AB46)</f>
        <v>53818.29</v>
      </c>
      <c r="AC47" s="906">
        <f t="shared" si="28"/>
        <v>91936.7</v>
      </c>
      <c r="AD47" s="906">
        <f t="shared" ref="AD47" si="35">SUM(AD45:AD46)</f>
        <v>114726</v>
      </c>
      <c r="AE47" s="906">
        <f t="shared" si="28"/>
        <v>151609</v>
      </c>
      <c r="AF47" s="911">
        <f>AF45+AF46</f>
        <v>244833.77</v>
      </c>
      <c r="AG47" s="911">
        <f>AG45+AG46</f>
        <v>335281</v>
      </c>
      <c r="AH47" s="909">
        <f>AH45+AH46</f>
        <v>110331</v>
      </c>
      <c r="AI47" s="909">
        <v>133586</v>
      </c>
      <c r="AJ47" s="911">
        <v>118592.54</v>
      </c>
      <c r="AK47" s="911">
        <v>121615</v>
      </c>
      <c r="AL47" s="909"/>
      <c r="AM47" s="911"/>
      <c r="AN47" s="911">
        <v>657792.57999999996</v>
      </c>
      <c r="AO47" s="911">
        <v>697289</v>
      </c>
      <c r="AP47" s="911">
        <v>40290.22</v>
      </c>
      <c r="AQ47" s="911">
        <v>45060</v>
      </c>
      <c r="AR47" s="911">
        <v>46847.75</v>
      </c>
      <c r="AS47" s="911">
        <v>61233</v>
      </c>
      <c r="AT47" s="911">
        <v>120667.32</v>
      </c>
      <c r="AU47" s="911">
        <v>291740</v>
      </c>
      <c r="AV47" s="909"/>
      <c r="AW47" s="911"/>
      <c r="AX47" s="909"/>
      <c r="AY47" s="911"/>
      <c r="AZ47" s="909">
        <f t="shared" si="1"/>
        <v>0</v>
      </c>
      <c r="BA47" s="910">
        <f t="shared" si="1"/>
        <v>0</v>
      </c>
    </row>
    <row r="48" spans="1:53">
      <c r="A48" s="67" t="s">
        <v>308</v>
      </c>
      <c r="B48" s="904">
        <v>98974.44</v>
      </c>
      <c r="C48" s="904">
        <v>217008</v>
      </c>
      <c r="D48" s="902">
        <v>15796.58</v>
      </c>
      <c r="E48" s="902">
        <v>18049</v>
      </c>
      <c r="F48" s="903">
        <v>38770</v>
      </c>
      <c r="G48" s="902">
        <v>39427</v>
      </c>
      <c r="H48" s="902">
        <v>121793.75</v>
      </c>
      <c r="I48" s="902">
        <v>183393</v>
      </c>
      <c r="J48" s="902">
        <v>33557</v>
      </c>
      <c r="K48" s="902">
        <v>34745</v>
      </c>
      <c r="L48" s="301">
        <v>40786.769999999997</v>
      </c>
      <c r="M48" s="301">
        <v>51637</v>
      </c>
      <c r="N48" s="301">
        <v>17259</v>
      </c>
      <c r="O48" s="301">
        <v>16603</v>
      </c>
      <c r="P48" s="301">
        <v>22323</v>
      </c>
      <c r="Q48" s="301">
        <v>30653</v>
      </c>
      <c r="R48" s="301">
        <v>54336</v>
      </c>
      <c r="S48" s="301">
        <v>70794</v>
      </c>
      <c r="T48" s="301">
        <v>16761</v>
      </c>
      <c r="U48" s="301">
        <v>28459</v>
      </c>
      <c r="V48" s="301">
        <v>531066</v>
      </c>
      <c r="W48" s="301">
        <v>624620</v>
      </c>
      <c r="X48" s="902">
        <v>349169.12</v>
      </c>
      <c r="Y48" s="902">
        <v>516628</v>
      </c>
      <c r="Z48" s="902">
        <v>16414.21</v>
      </c>
      <c r="AA48" s="902">
        <v>27725</v>
      </c>
      <c r="AB48" s="301">
        <v>36960.25</v>
      </c>
      <c r="AC48" s="301">
        <v>76401.7</v>
      </c>
      <c r="AD48" s="902">
        <v>134540.23000000001</v>
      </c>
      <c r="AE48" s="902">
        <v>165603</v>
      </c>
      <c r="AF48" s="902">
        <v>196397.26</v>
      </c>
      <c r="AG48" s="902">
        <v>371666</v>
      </c>
      <c r="AH48" s="301">
        <v>98398</v>
      </c>
      <c r="AI48" s="301">
        <v>124863</v>
      </c>
      <c r="AJ48" s="902">
        <v>83052.97</v>
      </c>
      <c r="AK48" s="902">
        <v>87776</v>
      </c>
      <c r="AL48" s="903"/>
      <c r="AM48" s="902"/>
      <c r="AN48" s="902">
        <v>330257.44</v>
      </c>
      <c r="AO48" s="902">
        <v>421039</v>
      </c>
      <c r="AP48" s="902">
        <v>24190.09</v>
      </c>
      <c r="AQ48" s="902">
        <v>27205</v>
      </c>
      <c r="AR48" s="902">
        <v>21882.639999999999</v>
      </c>
      <c r="AS48" s="902">
        <v>29715</v>
      </c>
      <c r="AT48" s="902">
        <v>111063.31</v>
      </c>
      <c r="AU48" s="902">
        <v>195459</v>
      </c>
      <c r="AV48" s="903">
        <f t="shared" si="0"/>
        <v>2393749.06</v>
      </c>
      <c r="AW48" s="902">
        <f t="shared" si="0"/>
        <v>3359468.7</v>
      </c>
      <c r="AX48" s="903"/>
      <c r="AY48" s="902"/>
      <c r="AZ48" s="903">
        <f t="shared" si="1"/>
        <v>2393749.06</v>
      </c>
      <c r="BA48" s="301">
        <f t="shared" si="1"/>
        <v>3359468.7</v>
      </c>
    </row>
    <row r="49" spans="1:53">
      <c r="A49" s="67" t="s">
        <v>309</v>
      </c>
      <c r="B49" s="904">
        <v>8912.56</v>
      </c>
      <c r="C49" s="904">
        <v>12687</v>
      </c>
      <c r="D49" s="902">
        <v>243.1</v>
      </c>
      <c r="E49" s="902">
        <v>196</v>
      </c>
      <c r="F49" s="903">
        <v>1495</v>
      </c>
      <c r="G49" s="902">
        <v>1542</v>
      </c>
      <c r="H49" s="902">
        <v>43574.01</v>
      </c>
      <c r="I49" s="902">
        <v>22174</v>
      </c>
      <c r="J49" s="902">
        <v>1642.61</v>
      </c>
      <c r="K49" s="902">
        <v>5793</v>
      </c>
      <c r="L49" s="301">
        <v>1402.88</v>
      </c>
      <c r="M49" s="301">
        <v>1547</v>
      </c>
      <c r="N49" s="301">
        <v>18137</v>
      </c>
      <c r="O49" s="301">
        <v>11807</v>
      </c>
      <c r="P49" s="301">
        <v>349</v>
      </c>
      <c r="Q49" s="301">
        <v>466</v>
      </c>
      <c r="R49" s="301">
        <v>5513</v>
      </c>
      <c r="S49" s="301">
        <v>4404</v>
      </c>
      <c r="T49" s="301">
        <v>598</v>
      </c>
      <c r="U49" s="301">
        <v>494</v>
      </c>
      <c r="V49" s="301">
        <v>6440</v>
      </c>
      <c r="W49" s="301">
        <v>7629</v>
      </c>
      <c r="X49" s="902">
        <v>2363.2399999999998</v>
      </c>
      <c r="Y49" s="902">
        <v>2556</v>
      </c>
      <c r="Z49" s="902">
        <v>909.31</v>
      </c>
      <c r="AA49" s="902">
        <v>901</v>
      </c>
      <c r="AB49" s="301">
        <v>219.41</v>
      </c>
      <c r="AC49" s="301">
        <v>177.9</v>
      </c>
      <c r="AD49" s="902">
        <v>27298.06</v>
      </c>
      <c r="AE49" s="902">
        <v>34056</v>
      </c>
      <c r="AF49" s="902">
        <v>7032.91</v>
      </c>
      <c r="AG49" s="902">
        <v>5368</v>
      </c>
      <c r="AH49" s="301">
        <v>9118</v>
      </c>
      <c r="AI49" s="301">
        <v>8555</v>
      </c>
      <c r="AJ49" s="902">
        <v>5543.01</v>
      </c>
      <c r="AK49" s="902">
        <v>7158</v>
      </c>
      <c r="AL49" s="903"/>
      <c r="AM49" s="902"/>
      <c r="AN49" s="902">
        <v>25535.26</v>
      </c>
      <c r="AO49" s="902">
        <v>37134</v>
      </c>
      <c r="AP49" s="902">
        <v>3272.89</v>
      </c>
      <c r="AQ49" s="902">
        <v>1246</v>
      </c>
      <c r="AR49" s="902">
        <v>156.77000000000001</v>
      </c>
      <c r="AS49" s="902">
        <v>162</v>
      </c>
      <c r="AT49" s="902">
        <v>5304.43</v>
      </c>
      <c r="AU49" s="902">
        <v>6758</v>
      </c>
      <c r="AV49" s="903">
        <f t="shared" si="0"/>
        <v>175060.45000000004</v>
      </c>
      <c r="AW49" s="902">
        <f t="shared" si="0"/>
        <v>172810.9</v>
      </c>
      <c r="AX49" s="903"/>
      <c r="AY49" s="902"/>
      <c r="AZ49" s="903">
        <f t="shared" si="1"/>
        <v>175060.45000000004</v>
      </c>
      <c r="BA49" s="301">
        <f t="shared" si="1"/>
        <v>172810.9</v>
      </c>
    </row>
    <row r="50" spans="1:53" s="912" customFormat="1" ht="18">
      <c r="A50" s="905" t="s">
        <v>310</v>
      </c>
      <c r="B50" s="906">
        <f>SUM(B48:B49)</f>
        <v>107887</v>
      </c>
      <c r="C50" s="906">
        <f>SUM(C48:C49)</f>
        <v>229695</v>
      </c>
      <c r="D50" s="911">
        <f t="shared" ref="D50" si="36">SUM(D48:D49)</f>
        <v>16039.68</v>
      </c>
      <c r="E50" s="911">
        <f t="shared" ref="E50:U50" si="37">SUM(E48:E49)</f>
        <v>18245</v>
      </c>
      <c r="F50" s="909">
        <f t="shared" si="37"/>
        <v>40265</v>
      </c>
      <c r="G50" s="911">
        <f t="shared" si="37"/>
        <v>40969</v>
      </c>
      <c r="H50" s="911">
        <f t="shared" ref="H50" si="38">SUM(H48:H49)</f>
        <v>165367.76</v>
      </c>
      <c r="I50" s="911">
        <f t="shared" si="37"/>
        <v>205567</v>
      </c>
      <c r="J50" s="911">
        <f t="shared" ref="J50" si="39">SUM(J48:J49)</f>
        <v>35199.61</v>
      </c>
      <c r="K50" s="911">
        <f t="shared" si="37"/>
        <v>40538</v>
      </c>
      <c r="L50" s="910">
        <f t="shared" ref="L50" si="40">SUM(L48:L49)</f>
        <v>42189.649999999994</v>
      </c>
      <c r="M50" s="910">
        <f t="shared" si="37"/>
        <v>53184</v>
      </c>
      <c r="N50" s="910">
        <f t="shared" ref="N50" si="41">SUM(N48:N49)</f>
        <v>35396</v>
      </c>
      <c r="O50" s="910">
        <f t="shared" si="37"/>
        <v>28410</v>
      </c>
      <c r="P50" s="910">
        <v>22672</v>
      </c>
      <c r="Q50" s="910">
        <f t="shared" si="37"/>
        <v>31119</v>
      </c>
      <c r="R50" s="910">
        <f t="shared" ref="R50" si="42">SUM(R48:R49)</f>
        <v>59849</v>
      </c>
      <c r="S50" s="910">
        <f t="shared" si="37"/>
        <v>75198</v>
      </c>
      <c r="T50" s="910">
        <f t="shared" ref="T50" si="43">SUM(T48:T49)</f>
        <v>17359</v>
      </c>
      <c r="U50" s="910">
        <f t="shared" si="37"/>
        <v>28953</v>
      </c>
      <c r="V50" s="910">
        <v>537506</v>
      </c>
      <c r="W50" s="910">
        <v>632249</v>
      </c>
      <c r="X50" s="911">
        <f>SUM(X48:X49)</f>
        <v>351532.36</v>
      </c>
      <c r="Y50" s="911">
        <f>SUM(Y48:Y49)</f>
        <v>519184</v>
      </c>
      <c r="Z50" s="911">
        <f t="shared" ref="Z50" si="44">SUM(Z48:Z49)</f>
        <v>17323.52</v>
      </c>
      <c r="AA50" s="911">
        <f t="shared" ref="AA50:AK50" si="45">SUM(AA48:AA49)</f>
        <v>28626</v>
      </c>
      <c r="AB50" s="911">
        <f t="shared" ref="AB50" si="46">SUM(AB48:AB49)</f>
        <v>37179.660000000003</v>
      </c>
      <c r="AC50" s="911">
        <f t="shared" si="45"/>
        <v>76579.599999999991</v>
      </c>
      <c r="AD50" s="911">
        <f t="shared" ref="AD50" si="47">SUM(AD48:AD49)</f>
        <v>161838.29</v>
      </c>
      <c r="AE50" s="911">
        <f t="shared" si="45"/>
        <v>199659</v>
      </c>
      <c r="AF50" s="911">
        <f t="shared" ref="AF50" si="48">SUM(AF48:AF49)</f>
        <v>203430.17</v>
      </c>
      <c r="AG50" s="911">
        <f t="shared" si="45"/>
        <v>377034</v>
      </c>
      <c r="AH50" s="911">
        <f t="shared" ref="AH50" si="49">SUM(AH48:AH49)</f>
        <v>107516</v>
      </c>
      <c r="AI50" s="911">
        <f t="shared" si="45"/>
        <v>133418</v>
      </c>
      <c r="AJ50" s="911">
        <f t="shared" ref="AJ50" si="50">SUM(AJ48:AJ49)</f>
        <v>88595.98</v>
      </c>
      <c r="AK50" s="911">
        <f t="shared" si="45"/>
        <v>94934</v>
      </c>
      <c r="AL50" s="909"/>
      <c r="AM50" s="911"/>
      <c r="AN50" s="909">
        <f>SUM(AN48:AN49)</f>
        <v>355792.7</v>
      </c>
      <c r="AO50" s="909">
        <f>SUM(AO48:AO49)</f>
        <v>458173</v>
      </c>
      <c r="AP50" s="909">
        <f t="shared" ref="AP50" si="51">SUM(AP48:AP49)</f>
        <v>27462.98</v>
      </c>
      <c r="AQ50" s="909">
        <f t="shared" ref="AQ50:AU50" si="52">SUM(AQ48:AQ49)</f>
        <v>28451</v>
      </c>
      <c r="AR50" s="911">
        <f t="shared" ref="AR50" si="53">SUM(AR48:AR49)</f>
        <v>22039.41</v>
      </c>
      <c r="AS50" s="911">
        <f t="shared" si="52"/>
        <v>29877</v>
      </c>
      <c r="AT50" s="911">
        <f t="shared" ref="AT50" si="54">SUM(AT48:AT49)</f>
        <v>116367.73999999999</v>
      </c>
      <c r="AU50" s="911">
        <f t="shared" si="52"/>
        <v>202217</v>
      </c>
      <c r="AV50" s="903">
        <f t="shared" si="0"/>
        <v>2568809.5099999998</v>
      </c>
      <c r="AW50" s="902">
        <f t="shared" si="0"/>
        <v>3532279.6</v>
      </c>
      <c r="AX50" s="909"/>
      <c r="AY50" s="911">
        <f>SUM(AY48:AY49)</f>
        <v>0</v>
      </c>
      <c r="AZ50" s="909">
        <f t="shared" si="1"/>
        <v>2568809.5099999998</v>
      </c>
      <c r="BA50" s="910">
        <f t="shared" si="1"/>
        <v>3532279.6</v>
      </c>
    </row>
    <row r="51" spans="1:53" s="912" customFormat="1" ht="18">
      <c r="A51" s="905" t="s">
        <v>311</v>
      </c>
      <c r="B51" s="906">
        <f t="shared" ref="B51" si="55">B47-B50</f>
        <v>51382</v>
      </c>
      <c r="C51" s="906">
        <f t="shared" ref="C51:AE51" si="56">C47-C50</f>
        <v>63738</v>
      </c>
      <c r="D51" s="911">
        <f t="shared" ref="D51" si="57">D47-D50</f>
        <v>1172.119999999999</v>
      </c>
      <c r="E51" s="911">
        <f t="shared" si="56"/>
        <v>3261</v>
      </c>
      <c r="F51" s="909">
        <f t="shared" si="56"/>
        <v>7100</v>
      </c>
      <c r="G51" s="911">
        <f t="shared" si="56"/>
        <v>13082</v>
      </c>
      <c r="H51" s="911">
        <f t="shared" ref="H51" si="58">H47-H50</f>
        <v>71906.489999999991</v>
      </c>
      <c r="I51" s="911">
        <f t="shared" si="56"/>
        <v>30285</v>
      </c>
      <c r="J51" s="911">
        <f t="shared" ref="J51" si="59">J47-J50</f>
        <v>16027.200000000004</v>
      </c>
      <c r="K51" s="911">
        <f t="shared" si="56"/>
        <v>15398</v>
      </c>
      <c r="L51" s="910">
        <f t="shared" ref="L51" si="60">L47-L50</f>
        <v>10496.970000000001</v>
      </c>
      <c r="M51" s="910">
        <f t="shared" si="56"/>
        <v>10027</v>
      </c>
      <c r="N51" s="910">
        <f t="shared" ref="N51" si="61">N47-N50</f>
        <v>3252</v>
      </c>
      <c r="O51" s="910">
        <f t="shared" si="56"/>
        <v>15181</v>
      </c>
      <c r="P51" s="910">
        <f t="shared" ref="P51" si="62">P47-P50</f>
        <v>13514</v>
      </c>
      <c r="Q51" s="910">
        <f t="shared" si="56"/>
        <v>14309</v>
      </c>
      <c r="R51" s="910">
        <f t="shared" ref="R51" si="63">R47-R50</f>
        <v>15075</v>
      </c>
      <c r="S51" s="910">
        <f t="shared" si="56"/>
        <v>25347</v>
      </c>
      <c r="T51" s="910">
        <f t="shared" ref="T51" si="64">T47-T50</f>
        <v>7777</v>
      </c>
      <c r="U51" s="910">
        <f t="shared" si="56"/>
        <v>2346</v>
      </c>
      <c r="V51" s="910">
        <v>-118877</v>
      </c>
      <c r="W51" s="910">
        <v>73833</v>
      </c>
      <c r="X51" s="911">
        <f t="shared" ref="X51" si="65">X47-X50</f>
        <v>13002.179999999993</v>
      </c>
      <c r="Y51" s="911">
        <f t="shared" si="56"/>
        <v>68163</v>
      </c>
      <c r="Z51" s="911">
        <f t="shared" ref="Z51" si="66">Z47-Z50</f>
        <v>41257.069999999992</v>
      </c>
      <c r="AA51" s="911">
        <f t="shared" si="56"/>
        <v>40878</v>
      </c>
      <c r="AB51" s="911">
        <f t="shared" ref="AB51" si="67">AB47-AB50</f>
        <v>16638.629999999997</v>
      </c>
      <c r="AC51" s="911">
        <f t="shared" si="56"/>
        <v>15357.100000000006</v>
      </c>
      <c r="AD51" s="911">
        <f t="shared" ref="AD51" si="68">AD47-AD50</f>
        <v>-47112.290000000008</v>
      </c>
      <c r="AE51" s="911">
        <f t="shared" si="56"/>
        <v>-48050</v>
      </c>
      <c r="AF51" s="911">
        <v>414404</v>
      </c>
      <c r="AG51" s="911">
        <v>-41753</v>
      </c>
      <c r="AH51" s="910">
        <v>2815</v>
      </c>
      <c r="AI51" s="910">
        <v>168</v>
      </c>
      <c r="AJ51" s="911">
        <v>29996.560000000001</v>
      </c>
      <c r="AK51" s="911">
        <v>26681</v>
      </c>
      <c r="AL51" s="909">
        <f>AL47-AL50</f>
        <v>0</v>
      </c>
      <c r="AM51" s="911">
        <f>AM47-AM50</f>
        <v>0</v>
      </c>
      <c r="AN51" s="911">
        <f>AN47-AN50</f>
        <v>301999.87999999995</v>
      </c>
      <c r="AO51" s="911">
        <f>AO47-AO50</f>
        <v>239116</v>
      </c>
      <c r="AP51" s="911">
        <f t="shared" ref="AP51" si="69">AP47-AP50</f>
        <v>12827.240000000002</v>
      </c>
      <c r="AQ51" s="911">
        <f t="shared" ref="AQ51:AU51" si="70">AQ47-AQ50</f>
        <v>16609</v>
      </c>
      <c r="AR51" s="911">
        <f t="shared" ref="AR51" si="71">AR47-AR50</f>
        <v>24808.34</v>
      </c>
      <c r="AS51" s="911">
        <f t="shared" si="70"/>
        <v>31356</v>
      </c>
      <c r="AT51" s="911">
        <f t="shared" ref="AT51" si="72">AT47-AT50</f>
        <v>4299.5800000000163</v>
      </c>
      <c r="AU51" s="911">
        <f t="shared" si="70"/>
        <v>89523</v>
      </c>
      <c r="AV51" s="903">
        <f t="shared" si="0"/>
        <v>893761.97</v>
      </c>
      <c r="AW51" s="902">
        <f t="shared" si="0"/>
        <v>704855.1</v>
      </c>
      <c r="AX51" s="909"/>
      <c r="AY51" s="911">
        <f>AY47-AY50</f>
        <v>0</v>
      </c>
      <c r="AZ51" s="909">
        <f t="shared" si="1"/>
        <v>893761.97</v>
      </c>
      <c r="BA51" s="910">
        <f t="shared" si="1"/>
        <v>704855.1</v>
      </c>
    </row>
    <row r="52" spans="1:53">
      <c r="A52" s="67" t="s">
        <v>312</v>
      </c>
      <c r="B52" s="904"/>
      <c r="C52" s="904"/>
      <c r="D52" s="902"/>
      <c r="E52" s="902"/>
      <c r="F52" s="903"/>
      <c r="G52" s="902"/>
      <c r="H52" s="902"/>
      <c r="I52" s="902"/>
      <c r="J52" s="902"/>
      <c r="K52" s="902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902"/>
      <c r="Y52" s="902"/>
      <c r="Z52" s="902"/>
      <c r="AA52" s="902"/>
      <c r="AB52" s="301"/>
      <c r="AC52" s="301"/>
      <c r="AD52" s="902"/>
      <c r="AE52" s="902"/>
      <c r="AF52" s="902"/>
      <c r="AG52" s="902"/>
      <c r="AH52" s="301"/>
      <c r="AI52" s="301"/>
      <c r="AJ52" s="902"/>
      <c r="AK52" s="902"/>
      <c r="AL52" s="903"/>
      <c r="AM52" s="902"/>
      <c r="AN52" s="902"/>
      <c r="AO52" s="902"/>
      <c r="AP52" s="902"/>
      <c r="AQ52" s="902"/>
      <c r="AR52" s="902"/>
      <c r="AS52" s="902"/>
      <c r="AT52" s="902"/>
      <c r="AU52" s="902"/>
      <c r="AV52" s="903">
        <f t="shared" si="0"/>
        <v>0</v>
      </c>
      <c r="AW52" s="902">
        <f t="shared" si="0"/>
        <v>0</v>
      </c>
      <c r="AX52" s="903"/>
      <c r="AY52" s="902"/>
      <c r="AZ52" s="903">
        <f t="shared" si="1"/>
        <v>0</v>
      </c>
      <c r="BA52" s="301">
        <f t="shared" si="1"/>
        <v>0</v>
      </c>
    </row>
    <row r="53" spans="1:53">
      <c r="A53" s="67" t="s">
        <v>313</v>
      </c>
      <c r="B53" s="904"/>
      <c r="C53" s="904"/>
      <c r="D53" s="902"/>
      <c r="E53" s="902"/>
      <c r="F53" s="903"/>
      <c r="G53" s="902"/>
      <c r="H53" s="902"/>
      <c r="I53" s="902"/>
      <c r="J53" s="902"/>
      <c r="K53" s="902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902"/>
      <c r="Y53" s="902"/>
      <c r="Z53" s="902"/>
      <c r="AA53" s="902"/>
      <c r="AB53" s="301"/>
      <c r="AC53" s="301"/>
      <c r="AD53" s="902"/>
      <c r="AE53" s="902"/>
      <c r="AF53" s="902"/>
      <c r="AG53" s="902"/>
      <c r="AH53" s="301"/>
      <c r="AI53" s="301"/>
      <c r="AJ53" s="902"/>
      <c r="AK53" s="902"/>
      <c r="AL53" s="903"/>
      <c r="AM53" s="902"/>
      <c r="AN53" s="902"/>
      <c r="AO53" s="902"/>
      <c r="AP53" s="902"/>
      <c r="AQ53" s="902"/>
      <c r="AR53" s="902"/>
      <c r="AS53" s="902"/>
      <c r="AT53" s="902"/>
      <c r="AU53" s="902"/>
      <c r="AV53" s="903">
        <f t="shared" si="0"/>
        <v>0</v>
      </c>
      <c r="AW53" s="902">
        <f t="shared" si="0"/>
        <v>0</v>
      </c>
      <c r="AX53" s="903"/>
      <c r="AY53" s="902"/>
      <c r="AZ53" s="903">
        <f t="shared" si="1"/>
        <v>0</v>
      </c>
      <c r="BA53" s="301">
        <f t="shared" si="1"/>
        <v>0</v>
      </c>
    </row>
    <row r="54" spans="1:53">
      <c r="A54" s="67" t="s">
        <v>314</v>
      </c>
      <c r="B54" s="904"/>
      <c r="C54" s="904"/>
      <c r="D54" s="902">
        <v>66519.63</v>
      </c>
      <c r="E54" s="902">
        <v>75640</v>
      </c>
      <c r="F54" s="903">
        <v>138118</v>
      </c>
      <c r="G54" s="902">
        <v>139161</v>
      </c>
      <c r="H54" s="902"/>
      <c r="I54" s="902"/>
      <c r="J54" s="902">
        <v>278021.78000000003</v>
      </c>
      <c r="K54" s="902">
        <v>303883</v>
      </c>
      <c r="L54" s="301"/>
      <c r="M54" s="301"/>
      <c r="N54" s="301">
        <v>21122.75</v>
      </c>
      <c r="O54" s="301">
        <v>24274</v>
      </c>
      <c r="P54" s="301">
        <v>152361</v>
      </c>
      <c r="Q54" s="301">
        <v>173033</v>
      </c>
      <c r="R54" s="301">
        <v>72440</v>
      </c>
      <c r="S54" s="301">
        <v>75686</v>
      </c>
      <c r="T54" s="301">
        <v>184268</v>
      </c>
      <c r="U54" s="301">
        <v>205790</v>
      </c>
      <c r="V54" s="301"/>
      <c r="W54" s="301"/>
      <c r="X54" s="902"/>
      <c r="Y54" s="902"/>
      <c r="Z54" s="902"/>
      <c r="AA54" s="902"/>
      <c r="AB54" s="301">
        <v>24680.97</v>
      </c>
      <c r="AC54" s="301">
        <v>40900</v>
      </c>
      <c r="AD54" s="902"/>
      <c r="AE54" s="902"/>
      <c r="AF54" s="902"/>
      <c r="AG54" s="902"/>
      <c r="AH54" s="301">
        <v>67347</v>
      </c>
      <c r="AI54" s="301">
        <v>70130</v>
      </c>
      <c r="AJ54" s="902">
        <v>20411.63</v>
      </c>
      <c r="AK54" s="902">
        <v>19180</v>
      </c>
      <c r="AL54" s="903"/>
      <c r="AM54" s="902"/>
      <c r="AN54" s="902"/>
      <c r="AO54" s="902"/>
      <c r="AP54" s="902"/>
      <c r="AQ54" s="902"/>
      <c r="AR54" s="902"/>
      <c r="AS54" s="902"/>
      <c r="AT54" s="902"/>
      <c r="AU54" s="902"/>
      <c r="AV54" s="903">
        <f t="shared" si="0"/>
        <v>1025290.76</v>
      </c>
      <c r="AW54" s="902">
        <f t="shared" si="0"/>
        <v>1127677</v>
      </c>
      <c r="AX54" s="903"/>
      <c r="AY54" s="902"/>
      <c r="AZ54" s="903">
        <f t="shared" si="1"/>
        <v>1025290.76</v>
      </c>
      <c r="BA54" s="301">
        <f t="shared" si="1"/>
        <v>1127677</v>
      </c>
    </row>
    <row r="55" spans="1:53">
      <c r="A55" s="67" t="s">
        <v>315</v>
      </c>
      <c r="B55" s="904"/>
      <c r="C55" s="904"/>
      <c r="D55" s="902">
        <v>137498.31</v>
      </c>
      <c r="E55" s="902">
        <v>151427</v>
      </c>
      <c r="F55" s="903"/>
      <c r="G55" s="902"/>
      <c r="H55" s="902"/>
      <c r="I55" s="902"/>
      <c r="J55" s="902"/>
      <c r="K55" s="902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902"/>
      <c r="Y55" s="902"/>
      <c r="Z55" s="902">
        <v>951.41</v>
      </c>
      <c r="AA55" s="902">
        <v>3756</v>
      </c>
      <c r="AB55" s="301">
        <v>427.34</v>
      </c>
      <c r="AC55" s="301">
        <v>181.87</v>
      </c>
      <c r="AD55" s="902"/>
      <c r="AE55" s="902"/>
      <c r="AF55" s="902">
        <v>35381</v>
      </c>
      <c r="AG55" s="902"/>
      <c r="AH55" s="301"/>
      <c r="AI55" s="301"/>
      <c r="AJ55" s="902"/>
      <c r="AK55" s="902"/>
      <c r="AL55" s="903"/>
      <c r="AM55" s="902"/>
      <c r="AN55" s="902"/>
      <c r="AO55" s="902"/>
      <c r="AP55" s="902"/>
      <c r="AQ55" s="902"/>
      <c r="AR55" s="902"/>
      <c r="AS55" s="902"/>
      <c r="AT55" s="902"/>
      <c r="AU55" s="902"/>
      <c r="AV55" s="903">
        <f t="shared" si="0"/>
        <v>174258.06</v>
      </c>
      <c r="AW55" s="902">
        <f t="shared" si="0"/>
        <v>155364.87</v>
      </c>
      <c r="AX55" s="903"/>
      <c r="AY55" s="902"/>
      <c r="AZ55" s="903">
        <f t="shared" si="1"/>
        <v>174258.06</v>
      </c>
      <c r="BA55" s="301">
        <f t="shared" si="1"/>
        <v>155364.87</v>
      </c>
    </row>
    <row r="56" spans="1:53" s="912" customFormat="1" ht="18">
      <c r="A56" s="905" t="s">
        <v>295</v>
      </c>
      <c r="B56" s="906">
        <v>4761651.01</v>
      </c>
      <c r="C56" s="906">
        <v>5810578</v>
      </c>
      <c r="D56" s="911">
        <v>512415</v>
      </c>
      <c r="E56" s="911">
        <v>584489</v>
      </c>
      <c r="F56" s="909">
        <v>1123560</v>
      </c>
      <c r="G56" s="911">
        <v>128064</v>
      </c>
      <c r="H56" s="911">
        <v>6543154.9199999999</v>
      </c>
      <c r="I56" s="911">
        <v>8234117</v>
      </c>
      <c r="J56" s="911">
        <v>1096918.74</v>
      </c>
      <c r="K56" s="911">
        <v>1350115</v>
      </c>
      <c r="L56" s="910">
        <v>1840630.35</v>
      </c>
      <c r="M56" s="910">
        <v>2478286</v>
      </c>
      <c r="N56" s="910">
        <v>561003</v>
      </c>
      <c r="O56" s="910">
        <v>633448</v>
      </c>
      <c r="P56" s="910">
        <v>527586</v>
      </c>
      <c r="Q56" s="910">
        <v>685353</v>
      </c>
      <c r="R56" s="910">
        <v>1776221</v>
      </c>
      <c r="S56" s="910">
        <v>2038021</v>
      </c>
      <c r="T56" s="910">
        <v>651133</v>
      </c>
      <c r="U56" s="910">
        <v>763193</v>
      </c>
      <c r="V56" s="910">
        <v>15008210</v>
      </c>
      <c r="W56" s="910">
        <v>19134601</v>
      </c>
      <c r="X56" s="911">
        <v>18089084.469999999</v>
      </c>
      <c r="Y56" s="911">
        <v>23657969</v>
      </c>
      <c r="Z56" s="911">
        <v>109704.23</v>
      </c>
      <c r="AA56" s="911">
        <v>1334489</v>
      </c>
      <c r="AB56" s="910">
        <v>1508415.94</v>
      </c>
      <c r="AC56" s="910">
        <v>1793419.6</v>
      </c>
      <c r="AD56" s="911">
        <v>3896970.3</v>
      </c>
      <c r="AE56" s="911">
        <v>5055210</v>
      </c>
      <c r="AF56" s="911">
        <v>7922093</v>
      </c>
      <c r="AG56" s="911">
        <v>10051160</v>
      </c>
      <c r="AH56" s="910">
        <v>2575746.2000000002</v>
      </c>
      <c r="AI56" s="910">
        <v>3214889</v>
      </c>
      <c r="AJ56" s="911">
        <v>2252304.9</v>
      </c>
      <c r="AK56" s="911">
        <v>2671672</v>
      </c>
      <c r="AL56" s="909"/>
      <c r="AM56" s="911"/>
      <c r="AN56" s="911">
        <v>18824661.5</v>
      </c>
      <c r="AO56" s="911">
        <v>24512137</v>
      </c>
      <c r="AP56" s="911">
        <v>571527.59</v>
      </c>
      <c r="AQ56" s="911">
        <v>706112</v>
      </c>
      <c r="AR56" s="911">
        <v>1052282.3400000001</v>
      </c>
      <c r="AS56" s="911">
        <v>1356794</v>
      </c>
      <c r="AT56" s="911">
        <v>3809393.36</v>
      </c>
      <c r="AU56" s="911">
        <v>5328663</v>
      </c>
      <c r="AV56" s="909">
        <f t="shared" si="0"/>
        <v>95014666.849999994</v>
      </c>
      <c r="AW56" s="911">
        <f t="shared" si="0"/>
        <v>121522779.59999999</v>
      </c>
      <c r="AX56" s="909"/>
      <c r="AY56" s="911"/>
      <c r="AZ56" s="909">
        <f t="shared" si="1"/>
        <v>95014666.849999994</v>
      </c>
      <c r="BA56" s="910">
        <f t="shared" si="1"/>
        <v>121522779.59999999</v>
      </c>
    </row>
    <row r="57" spans="1:53">
      <c r="A57" s="905" t="s">
        <v>316</v>
      </c>
      <c r="B57" s="902"/>
      <c r="C57" s="902"/>
      <c r="D57" s="902"/>
      <c r="E57" s="902"/>
      <c r="F57" s="903"/>
      <c r="G57" s="902"/>
      <c r="H57" s="902"/>
      <c r="I57" s="902"/>
      <c r="J57" s="902"/>
      <c r="K57" s="902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902"/>
      <c r="Y57" s="902"/>
      <c r="Z57" s="902"/>
      <c r="AA57" s="902"/>
      <c r="AB57" s="301"/>
      <c r="AC57" s="301"/>
      <c r="AD57" s="902"/>
      <c r="AE57" s="902"/>
      <c r="AF57" s="902"/>
      <c r="AG57" s="902"/>
      <c r="AH57" s="301"/>
      <c r="AI57" s="301"/>
      <c r="AJ57" s="902"/>
      <c r="AK57" s="902"/>
      <c r="AL57" s="903"/>
      <c r="AM57" s="902"/>
      <c r="AN57" s="902"/>
      <c r="AO57" s="902"/>
      <c r="AP57" s="902"/>
      <c r="AQ57" s="902"/>
      <c r="AR57" s="902"/>
      <c r="AS57" s="902"/>
      <c r="AT57" s="902"/>
      <c r="AU57" s="902"/>
      <c r="AV57" s="903">
        <f t="shared" si="0"/>
        <v>0</v>
      </c>
      <c r="AW57" s="902">
        <f t="shared" si="0"/>
        <v>0</v>
      </c>
      <c r="AX57" s="903"/>
      <c r="AY57" s="902"/>
      <c r="AZ57" s="903">
        <f t="shared" si="1"/>
        <v>0</v>
      </c>
      <c r="BA57" s="301">
        <f t="shared" si="1"/>
        <v>0</v>
      </c>
    </row>
    <row r="58" spans="1:53">
      <c r="A58" s="905" t="s">
        <v>0</v>
      </c>
      <c r="B58" s="902"/>
      <c r="C58" s="902"/>
      <c r="D58" s="902"/>
      <c r="E58" s="902"/>
      <c r="F58" s="903"/>
      <c r="G58" s="902"/>
      <c r="H58" s="902"/>
      <c r="I58" s="902"/>
      <c r="J58" s="902"/>
      <c r="K58" s="902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902"/>
      <c r="Y58" s="902"/>
      <c r="Z58" s="902"/>
      <c r="AA58" s="902"/>
      <c r="AB58" s="301"/>
      <c r="AC58" s="301"/>
      <c r="AD58" s="902"/>
      <c r="AE58" s="902"/>
      <c r="AF58" s="902"/>
      <c r="AG58" s="902"/>
      <c r="AH58" s="301"/>
      <c r="AI58" s="301"/>
      <c r="AJ58" s="902"/>
      <c r="AK58" s="902"/>
      <c r="AL58" s="903"/>
      <c r="AM58" s="902"/>
      <c r="AN58" s="902"/>
      <c r="AO58" s="902"/>
      <c r="AP58" s="902"/>
      <c r="AQ58" s="902"/>
      <c r="AR58" s="902"/>
      <c r="AS58" s="902"/>
      <c r="AT58" s="902"/>
      <c r="AU58" s="902"/>
      <c r="AV58" s="903">
        <f t="shared" si="0"/>
        <v>0</v>
      </c>
      <c r="AW58" s="902">
        <f t="shared" si="0"/>
        <v>0</v>
      </c>
      <c r="AX58" s="903"/>
      <c r="AY58" s="902"/>
      <c r="AZ58" s="903">
        <f t="shared" si="1"/>
        <v>0</v>
      </c>
      <c r="BA58" s="301">
        <f t="shared" si="1"/>
        <v>0</v>
      </c>
    </row>
    <row r="59" spans="1:53">
      <c r="A59" s="67" t="s">
        <v>317</v>
      </c>
      <c r="B59" s="902">
        <v>57650.2</v>
      </c>
      <c r="C59" s="902">
        <v>33904</v>
      </c>
      <c r="D59" s="902"/>
      <c r="E59" s="902"/>
      <c r="F59" s="903"/>
      <c r="G59" s="902"/>
      <c r="H59" s="902"/>
      <c r="I59" s="902"/>
      <c r="J59" s="902">
        <v>74496</v>
      </c>
      <c r="K59" s="902">
        <v>52601</v>
      </c>
      <c r="L59" s="301"/>
      <c r="M59" s="301"/>
      <c r="N59" s="301">
        <v>9.49</v>
      </c>
      <c r="O59" s="301">
        <v>157</v>
      </c>
      <c r="P59" s="301"/>
      <c r="Q59" s="301"/>
      <c r="R59" s="301">
        <v>3000</v>
      </c>
      <c r="S59" s="301">
        <v>2260</v>
      </c>
      <c r="T59" s="301"/>
      <c r="U59" s="301">
        <v>8916</v>
      </c>
      <c r="V59" s="301">
        <v>199230</v>
      </c>
      <c r="W59" s="301">
        <v>106951</v>
      </c>
      <c r="X59" s="902">
        <v>116972.31</v>
      </c>
      <c r="Y59" s="902">
        <v>102747</v>
      </c>
      <c r="Z59" s="902"/>
      <c r="AA59" s="902"/>
      <c r="AB59" s="301"/>
      <c r="AC59" s="301">
        <v>1441.08</v>
      </c>
      <c r="AD59" s="902">
        <v>30582.67</v>
      </c>
      <c r="AE59" s="902">
        <v>26361</v>
      </c>
      <c r="AF59" s="902">
        <v>20005</v>
      </c>
      <c r="AG59" s="902">
        <v>10000</v>
      </c>
      <c r="AH59" s="301">
        <v>38500</v>
      </c>
      <c r="AI59" s="301">
        <v>25500</v>
      </c>
      <c r="AJ59" s="902">
        <v>3062</v>
      </c>
      <c r="AK59" s="902">
        <v>4952</v>
      </c>
      <c r="AL59" s="903"/>
      <c r="AM59" s="902"/>
      <c r="AN59" s="902">
        <v>139000</v>
      </c>
      <c r="AO59" s="902">
        <v>92000</v>
      </c>
      <c r="AP59" s="902"/>
      <c r="AQ59" s="902"/>
      <c r="AR59" s="902"/>
      <c r="AS59" s="902"/>
      <c r="AT59" s="902"/>
      <c r="AU59" s="902"/>
      <c r="AV59" s="903">
        <f t="shared" si="0"/>
        <v>682507.66999999993</v>
      </c>
      <c r="AW59" s="902">
        <f t="shared" si="0"/>
        <v>467790.08000000002</v>
      </c>
      <c r="AX59" s="903"/>
      <c r="AY59" s="902"/>
      <c r="AZ59" s="903">
        <f t="shared" si="1"/>
        <v>682507.66999999993</v>
      </c>
      <c r="BA59" s="301">
        <f t="shared" si="1"/>
        <v>467790.08000000002</v>
      </c>
    </row>
    <row r="60" spans="1:53">
      <c r="A60" s="67" t="s">
        <v>318</v>
      </c>
      <c r="B60" s="902">
        <v>219.67</v>
      </c>
      <c r="C60" s="902">
        <v>234</v>
      </c>
      <c r="D60" s="902"/>
      <c r="E60" s="902"/>
      <c r="F60" s="903"/>
      <c r="G60" s="902"/>
      <c r="H60" s="902"/>
      <c r="I60" s="902"/>
      <c r="J60" s="902">
        <v>34</v>
      </c>
      <c r="K60" s="902">
        <v>5.87</v>
      </c>
      <c r="L60" s="301">
        <v>2</v>
      </c>
      <c r="M60" s="301">
        <v>2</v>
      </c>
      <c r="N60" s="301">
        <v>15.67</v>
      </c>
      <c r="O60" s="301">
        <v>269</v>
      </c>
      <c r="P60" s="301"/>
      <c r="Q60" s="301"/>
      <c r="R60" s="301"/>
      <c r="S60" s="301"/>
      <c r="T60" s="301">
        <v>125</v>
      </c>
      <c r="U60" s="301">
        <v>450</v>
      </c>
      <c r="V60" s="301"/>
      <c r="W60" s="301"/>
      <c r="X60" s="902">
        <f>11.76+413.54+85.23</f>
        <v>510.53000000000003</v>
      </c>
      <c r="Y60" s="902">
        <f>12+414+110</f>
        <v>536</v>
      </c>
      <c r="Z60" s="902"/>
      <c r="AA60" s="902"/>
      <c r="AB60" s="301"/>
      <c r="AC60" s="301"/>
      <c r="AD60" s="902">
        <v>54.29</v>
      </c>
      <c r="AE60" s="902">
        <v>41</v>
      </c>
      <c r="AF60" s="902">
        <v>2037</v>
      </c>
      <c r="AG60" s="902">
        <v>2756</v>
      </c>
      <c r="AH60" s="301">
        <v>64.11</v>
      </c>
      <c r="AI60" s="301">
        <v>106</v>
      </c>
      <c r="AJ60" s="902">
        <v>116</v>
      </c>
      <c r="AK60" s="902">
        <v>101</v>
      </c>
      <c r="AL60" s="903"/>
      <c r="AM60" s="902"/>
      <c r="AN60" s="902">
        <v>55.6</v>
      </c>
      <c r="AO60" s="902">
        <v>100</v>
      </c>
      <c r="AP60" s="902"/>
      <c r="AQ60" s="902"/>
      <c r="AR60" s="902">
        <v>74</v>
      </c>
      <c r="AS60" s="902">
        <v>70</v>
      </c>
      <c r="AT60" s="902">
        <v>144.5</v>
      </c>
      <c r="AU60" s="902">
        <v>1003</v>
      </c>
      <c r="AV60" s="903">
        <f t="shared" si="0"/>
        <v>3452.37</v>
      </c>
      <c r="AW60" s="902">
        <f t="shared" si="0"/>
        <v>5673.87</v>
      </c>
      <c r="AX60" s="903"/>
      <c r="AY60" s="902"/>
      <c r="AZ60" s="903">
        <f t="shared" si="1"/>
        <v>3452.37</v>
      </c>
      <c r="BA60" s="301">
        <f t="shared" si="1"/>
        <v>5673.87</v>
      </c>
    </row>
    <row r="61" spans="1:53">
      <c r="A61" s="67" t="s">
        <v>319</v>
      </c>
      <c r="B61" s="902"/>
      <c r="C61" s="902"/>
      <c r="D61" s="902"/>
      <c r="E61" s="902"/>
      <c r="F61" s="903"/>
      <c r="G61" s="902"/>
      <c r="H61" s="902"/>
      <c r="I61" s="902"/>
      <c r="J61" s="902"/>
      <c r="K61" s="902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>
        <v>1</v>
      </c>
      <c r="W61" s="301">
        <v>1</v>
      </c>
      <c r="X61" s="902"/>
      <c r="Y61" s="902"/>
      <c r="Z61" s="902"/>
      <c r="AA61" s="902"/>
      <c r="AB61" s="301"/>
      <c r="AC61" s="301"/>
      <c r="AD61" s="902"/>
      <c r="AE61" s="902"/>
      <c r="AF61" s="902"/>
      <c r="AG61" s="902"/>
      <c r="AH61" s="301"/>
      <c r="AI61" s="301"/>
      <c r="AJ61" s="902"/>
      <c r="AK61" s="902"/>
      <c r="AL61" s="903"/>
      <c r="AM61" s="902"/>
      <c r="AN61" s="902"/>
      <c r="AO61" s="902"/>
      <c r="AP61" s="902"/>
      <c r="AQ61" s="902"/>
      <c r="AR61" s="902"/>
      <c r="AS61" s="902"/>
      <c r="AT61" s="902"/>
      <c r="AU61" s="902"/>
      <c r="AV61" s="903">
        <f t="shared" si="0"/>
        <v>1</v>
      </c>
      <c r="AW61" s="902">
        <f t="shared" si="0"/>
        <v>1</v>
      </c>
      <c r="AX61" s="903"/>
      <c r="AY61" s="902"/>
      <c r="AZ61" s="903">
        <f t="shared" si="1"/>
        <v>1</v>
      </c>
      <c r="BA61" s="301">
        <f t="shared" si="1"/>
        <v>1</v>
      </c>
    </row>
    <row r="62" spans="1:53">
      <c r="A62" s="67" t="s">
        <v>320</v>
      </c>
      <c r="B62" s="902">
        <v>25</v>
      </c>
      <c r="C62" s="902">
        <v>25</v>
      </c>
      <c r="D62" s="902">
        <v>25</v>
      </c>
      <c r="E62" s="902">
        <v>25</v>
      </c>
      <c r="F62" s="903"/>
      <c r="G62" s="902"/>
      <c r="H62" s="902"/>
      <c r="I62" s="902">
        <v>41</v>
      </c>
      <c r="J62" s="902">
        <v>25</v>
      </c>
      <c r="K62" s="902">
        <v>25</v>
      </c>
      <c r="L62" s="301">
        <v>51</v>
      </c>
      <c r="M62" s="301">
        <v>51</v>
      </c>
      <c r="N62" s="301"/>
      <c r="O62" s="301"/>
      <c r="P62" s="301"/>
      <c r="Q62" s="301"/>
      <c r="R62" s="301"/>
      <c r="S62" s="301"/>
      <c r="T62" s="301"/>
      <c r="U62" s="301"/>
      <c r="V62" s="301">
        <v>35</v>
      </c>
      <c r="W62" s="301">
        <v>35</v>
      </c>
      <c r="X62" s="902"/>
      <c r="Y62" s="902"/>
      <c r="Z62" s="902"/>
      <c r="AA62" s="902"/>
      <c r="AB62" s="301"/>
      <c r="AC62" s="301"/>
      <c r="AD62" s="902">
        <v>45.04</v>
      </c>
      <c r="AE62" s="902">
        <v>45</v>
      </c>
      <c r="AF62" s="902">
        <v>25</v>
      </c>
      <c r="AG62" s="902">
        <v>25</v>
      </c>
      <c r="AH62" s="301">
        <v>40.26</v>
      </c>
      <c r="AI62" s="301">
        <v>40</v>
      </c>
      <c r="AJ62" s="902">
        <v>11</v>
      </c>
      <c r="AK62" s="902">
        <v>11</v>
      </c>
      <c r="AL62" s="903"/>
      <c r="AM62" s="902"/>
      <c r="AN62" s="902"/>
      <c r="AO62" s="902"/>
      <c r="AP62" s="902"/>
      <c r="AQ62" s="902"/>
      <c r="AR62" s="902"/>
      <c r="AS62" s="902"/>
      <c r="AT62" s="902">
        <v>85.6</v>
      </c>
      <c r="AU62" s="902">
        <v>86</v>
      </c>
      <c r="AV62" s="903">
        <f t="shared" si="0"/>
        <v>367.9</v>
      </c>
      <c r="AW62" s="902">
        <f t="shared" si="0"/>
        <v>409</v>
      </c>
      <c r="AX62" s="903"/>
      <c r="AY62" s="902"/>
      <c r="AZ62" s="903">
        <f t="shared" si="1"/>
        <v>367.9</v>
      </c>
      <c r="BA62" s="301">
        <f t="shared" si="1"/>
        <v>409</v>
      </c>
    </row>
    <row r="63" spans="1:53">
      <c r="A63" s="67" t="s">
        <v>321</v>
      </c>
      <c r="B63" s="902"/>
      <c r="C63" s="902"/>
      <c r="D63" s="902">
        <v>821</v>
      </c>
      <c r="E63" s="902">
        <v>821</v>
      </c>
      <c r="F63" s="903"/>
      <c r="G63" s="902"/>
      <c r="H63" s="902"/>
      <c r="I63" s="902"/>
      <c r="J63" s="902">
        <v>3295</v>
      </c>
      <c r="K63" s="902">
        <v>1929</v>
      </c>
      <c r="L63" s="301">
        <v>14741</v>
      </c>
      <c r="M63" s="301">
        <v>15523</v>
      </c>
      <c r="N63" s="301">
        <v>1241.29</v>
      </c>
      <c r="O63" s="301">
        <v>2314</v>
      </c>
      <c r="P63" s="301">
        <v>354</v>
      </c>
      <c r="Q63" s="301"/>
      <c r="R63" s="301">
        <v>25356</v>
      </c>
      <c r="S63" s="301">
        <v>25356</v>
      </c>
      <c r="T63" s="301">
        <v>458</v>
      </c>
      <c r="U63" s="301">
        <v>515</v>
      </c>
      <c r="V63" s="301">
        <v>7789</v>
      </c>
      <c r="W63" s="301">
        <v>14297</v>
      </c>
      <c r="X63" s="902">
        <v>15369.96</v>
      </c>
      <c r="Y63" s="902">
        <v>15370</v>
      </c>
      <c r="Z63" s="902">
        <v>4889.7299999999996</v>
      </c>
      <c r="AA63" s="902">
        <v>7924</v>
      </c>
      <c r="AB63" s="301">
        <v>2830.29</v>
      </c>
      <c r="AC63" s="301">
        <v>6431</v>
      </c>
      <c r="AD63" s="902">
        <v>21747.58</v>
      </c>
      <c r="AE63" s="902">
        <v>22809</v>
      </c>
      <c r="AF63" s="902">
        <v>555</v>
      </c>
      <c r="AG63" s="902">
        <v>598</v>
      </c>
      <c r="AH63" s="301">
        <v>1506.27</v>
      </c>
      <c r="AI63" s="301">
        <v>1506</v>
      </c>
      <c r="AJ63" s="902">
        <v>16113</v>
      </c>
      <c r="AK63" s="902">
        <v>16113</v>
      </c>
      <c r="AL63" s="903"/>
      <c r="AM63" s="902"/>
      <c r="AN63" s="902"/>
      <c r="AO63" s="902"/>
      <c r="AP63" s="902"/>
      <c r="AQ63" s="902"/>
      <c r="AR63" s="903">
        <v>6448.34</v>
      </c>
      <c r="AS63" s="903">
        <v>8554</v>
      </c>
      <c r="AT63" s="902"/>
      <c r="AU63" s="902"/>
      <c r="AV63" s="903">
        <f t="shared" si="0"/>
        <v>123515.45999999999</v>
      </c>
      <c r="AW63" s="902">
        <f t="shared" si="0"/>
        <v>140060</v>
      </c>
      <c r="AX63" s="903"/>
      <c r="AY63" s="902"/>
      <c r="AZ63" s="903">
        <f t="shared" si="1"/>
        <v>123515.45999999999</v>
      </c>
      <c r="BA63" s="301">
        <f t="shared" si="1"/>
        <v>140060</v>
      </c>
    </row>
    <row r="64" spans="1:53">
      <c r="A64" s="67" t="s">
        <v>322</v>
      </c>
      <c r="B64" s="902"/>
      <c r="C64" s="902"/>
      <c r="D64" s="902"/>
      <c r="E64" s="902"/>
      <c r="F64" s="903"/>
      <c r="G64" s="902"/>
      <c r="H64" s="902"/>
      <c r="I64" s="902"/>
      <c r="J64" s="902"/>
      <c r="K64" s="902"/>
      <c r="L64" s="301"/>
      <c r="M64" s="301"/>
      <c r="N64" s="301"/>
      <c r="O64" s="301"/>
      <c r="P64" s="301">
        <v>39</v>
      </c>
      <c r="Q64" s="301">
        <v>84</v>
      </c>
      <c r="R64" s="301"/>
      <c r="S64" s="301"/>
      <c r="T64" s="301"/>
      <c r="U64" s="301"/>
      <c r="V64" s="301"/>
      <c r="W64" s="301"/>
      <c r="X64" s="902"/>
      <c r="Y64" s="902"/>
      <c r="Z64" s="902"/>
      <c r="AA64" s="902"/>
      <c r="AB64" s="301"/>
      <c r="AC64" s="301"/>
      <c r="AD64" s="902"/>
      <c r="AE64" s="902"/>
      <c r="AF64" s="902"/>
      <c r="AG64" s="902"/>
      <c r="AH64" s="301"/>
      <c r="AI64" s="301"/>
      <c r="AJ64" s="902"/>
      <c r="AK64" s="902"/>
      <c r="AL64" s="903"/>
      <c r="AM64" s="902"/>
      <c r="AN64" s="902"/>
      <c r="AO64" s="902"/>
      <c r="AP64" s="902"/>
      <c r="AQ64" s="902"/>
      <c r="AR64" s="902"/>
      <c r="AS64" s="902"/>
      <c r="AT64" s="902"/>
      <c r="AU64" s="902"/>
      <c r="AV64" s="903">
        <f t="shared" si="0"/>
        <v>39</v>
      </c>
      <c r="AW64" s="902">
        <f t="shared" si="0"/>
        <v>84</v>
      </c>
      <c r="AX64" s="903"/>
      <c r="AY64" s="902"/>
      <c r="AZ64" s="903">
        <f t="shared" si="1"/>
        <v>39</v>
      </c>
      <c r="BA64" s="301">
        <f t="shared" si="1"/>
        <v>84</v>
      </c>
    </row>
    <row r="65" spans="1:53">
      <c r="A65" s="67" t="s">
        <v>323</v>
      </c>
      <c r="B65" s="902"/>
      <c r="C65" s="902"/>
      <c r="D65" s="902">
        <v>637</v>
      </c>
      <c r="E65" s="902">
        <v>691</v>
      </c>
      <c r="F65" s="903"/>
      <c r="G65" s="902"/>
      <c r="H65" s="902">
        <v>5204</v>
      </c>
      <c r="I65" s="902">
        <v>6407</v>
      </c>
      <c r="J65" s="902"/>
      <c r="K65" s="902"/>
      <c r="L65" s="301"/>
      <c r="M65" s="301"/>
      <c r="N65" s="301"/>
      <c r="O65" s="301"/>
      <c r="P65" s="301"/>
      <c r="Q65" s="301"/>
      <c r="R65" s="301"/>
      <c r="S65" s="301"/>
      <c r="T65" s="301">
        <v>492</v>
      </c>
      <c r="U65" s="301">
        <v>1368</v>
      </c>
      <c r="V65" s="301"/>
      <c r="W65" s="301"/>
      <c r="X65" s="902">
        <v>659.3</v>
      </c>
      <c r="Y65" s="902">
        <v>794</v>
      </c>
      <c r="Z65" s="902"/>
      <c r="AA65" s="902"/>
      <c r="AB65" s="301">
        <v>3742</v>
      </c>
      <c r="AC65" s="301">
        <v>4577.55</v>
      </c>
      <c r="AD65" s="902"/>
      <c r="AE65" s="902"/>
      <c r="AF65" s="902"/>
      <c r="AG65" s="902"/>
      <c r="AH65" s="301">
        <v>4745.09</v>
      </c>
      <c r="AI65" s="301">
        <v>5910</v>
      </c>
      <c r="AJ65" s="902"/>
      <c r="AK65" s="902"/>
      <c r="AL65" s="903"/>
      <c r="AM65" s="902"/>
      <c r="AN65" s="902"/>
      <c r="AO65" s="902"/>
      <c r="AP65" s="902"/>
      <c r="AQ65" s="902"/>
      <c r="AR65" s="902"/>
      <c r="AS65" s="902"/>
      <c r="AT65" s="902"/>
      <c r="AU65" s="902"/>
      <c r="AV65" s="903">
        <f t="shared" si="0"/>
        <v>15479.39</v>
      </c>
      <c r="AW65" s="902">
        <f t="shared" si="0"/>
        <v>19747.55</v>
      </c>
      <c r="AX65" s="903"/>
      <c r="AY65" s="902"/>
      <c r="AZ65" s="903">
        <f t="shared" si="1"/>
        <v>15479.39</v>
      </c>
      <c r="BA65" s="301">
        <f t="shared" si="1"/>
        <v>19747.55</v>
      </c>
    </row>
    <row r="66" spans="1:53">
      <c r="A66" s="67" t="s">
        <v>74</v>
      </c>
      <c r="B66" s="902">
        <v>4345.53</v>
      </c>
      <c r="C66" s="902">
        <v>4346</v>
      </c>
      <c r="D66" s="902">
        <v>19</v>
      </c>
      <c r="E66" s="902">
        <v>19</v>
      </c>
      <c r="F66" s="903"/>
      <c r="G66" s="902"/>
      <c r="H66" s="902">
        <v>530</v>
      </c>
      <c r="I66" s="902">
        <v>694</v>
      </c>
      <c r="J66" s="902">
        <v>3302</v>
      </c>
      <c r="K66" s="902">
        <v>3567</v>
      </c>
      <c r="L66" s="301">
        <v>2539</v>
      </c>
      <c r="M66" s="301">
        <v>3743</v>
      </c>
      <c r="N66" s="301">
        <v>1458.06</v>
      </c>
      <c r="O66" s="301">
        <f>81+1377</f>
        <v>1458</v>
      </c>
      <c r="P66" s="301"/>
      <c r="Q66" s="301"/>
      <c r="R66" s="301">
        <f>2616+6955</f>
        <v>9571</v>
      </c>
      <c r="S66" s="301">
        <f>4734+7716</f>
        <v>12450</v>
      </c>
      <c r="T66" s="301">
        <v>9111</v>
      </c>
      <c r="U66" s="301">
        <v>9111</v>
      </c>
      <c r="V66" s="301">
        <v>3883</v>
      </c>
      <c r="W66" s="301">
        <v>4246</v>
      </c>
      <c r="X66" s="902">
        <v>5978.39</v>
      </c>
      <c r="Y66" s="902">
        <v>9813</v>
      </c>
      <c r="Z66" s="902">
        <v>1408.03</v>
      </c>
      <c r="AA66" s="902">
        <v>1577</v>
      </c>
      <c r="AB66" s="301"/>
      <c r="AC66" s="301"/>
      <c r="AD66" s="902">
        <v>1271.5999999999999</v>
      </c>
      <c r="AE66" s="902">
        <v>1739</v>
      </c>
      <c r="AF66" s="902">
        <v>3328</v>
      </c>
      <c r="AG66" s="902">
        <v>6921</v>
      </c>
      <c r="AH66" s="301"/>
      <c r="AI66" s="301"/>
      <c r="AJ66" s="902">
        <v>3322</v>
      </c>
      <c r="AK66" s="902">
        <v>3557</v>
      </c>
      <c r="AL66" s="903"/>
      <c r="AM66" s="902"/>
      <c r="AN66" s="902">
        <f>15236.69+10812.84</f>
        <v>26049.53</v>
      </c>
      <c r="AO66" s="902">
        <f>19126+27529</f>
        <v>46655</v>
      </c>
      <c r="AP66" s="902">
        <v>607</v>
      </c>
      <c r="AQ66" s="902">
        <v>580</v>
      </c>
      <c r="AR66" s="903">
        <f>652.99+198.73</f>
        <v>851.72</v>
      </c>
      <c r="AS66" s="903">
        <f>871+280</f>
        <v>1151</v>
      </c>
      <c r="AT66" s="902">
        <f>49.91+280.73+1432.66</f>
        <v>1763.3000000000002</v>
      </c>
      <c r="AU66" s="902">
        <f>351+2682+50</f>
        <v>3083</v>
      </c>
      <c r="AV66" s="903">
        <f t="shared" si="0"/>
        <v>79338.159999999989</v>
      </c>
      <c r="AW66" s="902">
        <f t="shared" si="0"/>
        <v>114710</v>
      </c>
      <c r="AX66" s="903"/>
      <c r="AY66" s="902"/>
      <c r="AZ66" s="903">
        <f t="shared" si="1"/>
        <v>79338.159999999989</v>
      </c>
      <c r="BA66" s="301">
        <f t="shared" si="1"/>
        <v>114710</v>
      </c>
    </row>
    <row r="67" spans="1:53" s="912" customFormat="1" ht="18.75" thickBot="1">
      <c r="A67" s="913" t="s">
        <v>54</v>
      </c>
      <c r="B67" s="914"/>
      <c r="C67" s="914"/>
      <c r="D67" s="914">
        <v>1502</v>
      </c>
      <c r="E67" s="914">
        <v>1556</v>
      </c>
      <c r="F67" s="915"/>
      <c r="G67" s="914"/>
      <c r="H67" s="914">
        <v>5734</v>
      </c>
      <c r="I67" s="914">
        <v>7141</v>
      </c>
      <c r="J67" s="914">
        <v>81152</v>
      </c>
      <c r="K67" s="914">
        <v>58128</v>
      </c>
      <c r="L67" s="916">
        <v>17332</v>
      </c>
      <c r="M67" s="916">
        <v>19319</v>
      </c>
      <c r="N67" s="916">
        <v>2724.51</v>
      </c>
      <c r="O67" s="916">
        <v>4198</v>
      </c>
      <c r="P67" s="916"/>
      <c r="Q67" s="916"/>
      <c r="R67" s="916">
        <v>37928</v>
      </c>
      <c r="S67" s="916">
        <v>40067</v>
      </c>
      <c r="T67" s="916">
        <v>10186</v>
      </c>
      <c r="U67" s="916">
        <v>20359</v>
      </c>
      <c r="V67" s="916">
        <v>210938</v>
      </c>
      <c r="W67" s="916">
        <v>125530</v>
      </c>
      <c r="X67" s="914">
        <v>139490.49</v>
      </c>
      <c r="Y67" s="914">
        <v>129260</v>
      </c>
      <c r="Z67" s="914">
        <v>6297.76</v>
      </c>
      <c r="AA67" s="914">
        <v>9526</v>
      </c>
      <c r="AB67" s="916">
        <v>6572.29</v>
      </c>
      <c r="AC67" s="916">
        <v>12449.67</v>
      </c>
      <c r="AD67" s="914">
        <v>53701.18</v>
      </c>
      <c r="AE67" s="914">
        <v>50995</v>
      </c>
      <c r="AF67" s="914">
        <v>25950</v>
      </c>
      <c r="AG67" s="914">
        <v>20299</v>
      </c>
      <c r="AH67" s="916">
        <v>44855.73</v>
      </c>
      <c r="AI67" s="916">
        <v>33062</v>
      </c>
      <c r="AJ67" s="914">
        <v>22624</v>
      </c>
      <c r="AK67" s="914">
        <v>24734</v>
      </c>
      <c r="AL67" s="915"/>
      <c r="AM67" s="914"/>
      <c r="AN67" s="914">
        <v>165105.13</v>
      </c>
      <c r="AO67" s="914">
        <v>138755</v>
      </c>
      <c r="AP67" s="914">
        <v>607</v>
      </c>
      <c r="AQ67" s="914"/>
      <c r="AR67" s="914">
        <v>7374</v>
      </c>
      <c r="AS67" s="914">
        <v>9775</v>
      </c>
      <c r="AT67" s="914">
        <v>1993.4</v>
      </c>
      <c r="AU67" s="914">
        <v>4197</v>
      </c>
      <c r="AV67" s="915">
        <f t="shared" si="0"/>
        <v>842067.49</v>
      </c>
      <c r="AW67" s="914">
        <f t="shared" si="0"/>
        <v>709350.66999999993</v>
      </c>
      <c r="AX67" s="915"/>
      <c r="AY67" s="914"/>
      <c r="AZ67" s="915">
        <f t="shared" si="1"/>
        <v>842067.49</v>
      </c>
      <c r="BA67" s="916">
        <f t="shared" si="1"/>
        <v>709350.66999999993</v>
      </c>
    </row>
    <row r="68" spans="1:53">
      <c r="AQ68" s="66">
        <v>580</v>
      </c>
    </row>
  </sheetData>
  <mergeCells count="26">
    <mergeCell ref="AF1:AG1"/>
    <mergeCell ref="AH1:AI1"/>
    <mergeCell ref="AJ1:AK1"/>
    <mergeCell ref="AX1:AY1"/>
    <mergeCell ref="AZ1:BA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14"/>
  <sheetViews>
    <sheetView workbookViewId="0">
      <pane xSplit="1" topLeftCell="AU1" activePane="topRight" state="frozen"/>
      <selection pane="topRight" sqref="A1:XFD1048576"/>
    </sheetView>
  </sheetViews>
  <sheetFormatPr defaultRowHeight="15"/>
  <cols>
    <col min="1" max="1" width="30.42578125" bestFit="1" customWidth="1"/>
    <col min="2" max="53" width="12.85546875" bestFit="1" customWidth="1"/>
    <col min="54" max="54" width="10.7109375" customWidth="1"/>
    <col min="55" max="55" width="12" customWidth="1"/>
  </cols>
  <sheetData>
    <row r="1" spans="1:53" s="66" customFormat="1" ht="18">
      <c r="A1" s="1056" t="s">
        <v>58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6"/>
      <c r="M1" s="1056"/>
      <c r="N1" s="1056"/>
      <c r="O1" s="1056"/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  <c r="AA1" s="1056"/>
      <c r="AB1" s="1056"/>
      <c r="AC1" s="1056"/>
      <c r="AD1" s="1056"/>
      <c r="AE1" s="1056"/>
      <c r="AF1" s="1056"/>
      <c r="AG1" s="1056"/>
      <c r="AH1" s="1056"/>
      <c r="AI1" s="1056"/>
      <c r="AJ1" s="1056"/>
      <c r="AK1" s="1056"/>
      <c r="AL1" s="1056"/>
      <c r="AM1" s="1056"/>
      <c r="AN1" s="1056"/>
      <c r="AO1" s="1056"/>
      <c r="AP1" s="1056"/>
      <c r="AQ1" s="1056"/>
      <c r="AR1" s="1056"/>
      <c r="AS1" s="1056"/>
      <c r="AT1" s="1056"/>
      <c r="AU1" s="1056"/>
      <c r="AV1" s="1056"/>
      <c r="AW1" s="1056"/>
      <c r="AX1" s="1056"/>
      <c r="AY1" s="1056"/>
      <c r="AZ1" s="1056"/>
    </row>
    <row r="2" spans="1:53" s="347" customFormat="1" ht="17.25" thickBot="1">
      <c r="A2" s="1102" t="s">
        <v>367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  <c r="M2" s="1102"/>
      <c r="N2" s="1102"/>
      <c r="O2" s="1102"/>
      <c r="P2" s="1102"/>
      <c r="Q2" s="1102"/>
      <c r="R2" s="1102"/>
      <c r="S2" s="1102"/>
      <c r="T2" s="1102"/>
      <c r="U2" s="1102"/>
      <c r="V2" s="1102"/>
      <c r="W2" s="1102"/>
      <c r="X2" s="1102"/>
      <c r="Y2" s="1102"/>
      <c r="Z2" s="1102"/>
      <c r="AA2" s="1102"/>
      <c r="AB2" s="1102"/>
      <c r="AC2" s="1102"/>
      <c r="AD2" s="1102"/>
      <c r="AE2" s="1102"/>
      <c r="AF2" s="1102"/>
      <c r="AG2" s="1102"/>
      <c r="AH2" s="1102"/>
      <c r="AI2" s="1102"/>
      <c r="AJ2" s="1102"/>
      <c r="AK2" s="1102"/>
      <c r="AL2" s="1102"/>
      <c r="AM2" s="1102"/>
      <c r="AN2" s="1102"/>
      <c r="AO2" s="1102"/>
      <c r="AP2" s="1102"/>
      <c r="AQ2" s="1102"/>
      <c r="AR2" s="1102"/>
      <c r="AS2" s="1102"/>
      <c r="AT2" s="1102"/>
      <c r="AU2" s="1102"/>
      <c r="AV2" s="1102"/>
      <c r="AW2" s="1102"/>
      <c r="AX2" s="1102"/>
      <c r="AY2" s="1102"/>
      <c r="AZ2" s="1102"/>
    </row>
    <row r="3" spans="1:53" s="66" customFormat="1" ht="30.75" customHeight="1">
      <c r="A3" s="1103" t="s">
        <v>0</v>
      </c>
      <c r="B3" s="1097" t="s">
        <v>150</v>
      </c>
      <c r="C3" s="1101"/>
      <c r="D3" s="1098" t="s">
        <v>151</v>
      </c>
      <c r="E3" s="1098"/>
      <c r="F3" s="1097" t="s">
        <v>152</v>
      </c>
      <c r="G3" s="1101"/>
      <c r="H3" s="1097" t="s">
        <v>153</v>
      </c>
      <c r="I3" s="1101"/>
      <c r="J3" s="1097" t="s">
        <v>154</v>
      </c>
      <c r="K3" s="1101"/>
      <c r="L3" s="1098" t="s">
        <v>155</v>
      </c>
      <c r="M3" s="1098"/>
      <c r="N3" s="1097" t="s">
        <v>255</v>
      </c>
      <c r="O3" s="1101"/>
      <c r="P3" s="1097" t="s">
        <v>156</v>
      </c>
      <c r="Q3" s="1101"/>
      <c r="R3" s="1097" t="s">
        <v>157</v>
      </c>
      <c r="S3" s="1101"/>
      <c r="T3" s="1098" t="s">
        <v>158</v>
      </c>
      <c r="U3" s="1098"/>
      <c r="V3" s="1097" t="s">
        <v>159</v>
      </c>
      <c r="W3" s="1101"/>
      <c r="X3" s="1097" t="s">
        <v>160</v>
      </c>
      <c r="Y3" s="1098"/>
      <c r="Z3" s="1097" t="s">
        <v>365</v>
      </c>
      <c r="AA3" s="1101"/>
      <c r="AB3" s="1097" t="s">
        <v>161</v>
      </c>
      <c r="AC3" s="1098"/>
      <c r="AD3" s="1099" t="s">
        <v>162</v>
      </c>
      <c r="AE3" s="1100"/>
      <c r="AF3" s="1097" t="s">
        <v>163</v>
      </c>
      <c r="AG3" s="1101"/>
      <c r="AH3" s="1097" t="s">
        <v>164</v>
      </c>
      <c r="AI3" s="1101"/>
      <c r="AJ3" s="1097" t="s">
        <v>165</v>
      </c>
      <c r="AK3" s="1098"/>
      <c r="AL3" s="1099" t="s">
        <v>166</v>
      </c>
      <c r="AM3" s="1100"/>
      <c r="AN3" s="1097" t="s">
        <v>167</v>
      </c>
      <c r="AO3" s="1101"/>
      <c r="AP3" s="1097" t="s">
        <v>168</v>
      </c>
      <c r="AQ3" s="1101"/>
      <c r="AR3" s="1097" t="s">
        <v>169</v>
      </c>
      <c r="AS3" s="1101"/>
      <c r="AT3" s="1097" t="s">
        <v>170</v>
      </c>
      <c r="AU3" s="1101"/>
      <c r="AV3" s="1097" t="s">
        <v>1</v>
      </c>
      <c r="AW3" s="1098"/>
      <c r="AX3" s="1099" t="s">
        <v>171</v>
      </c>
      <c r="AY3" s="1100"/>
      <c r="AZ3" s="1099" t="s">
        <v>2</v>
      </c>
      <c r="BA3" s="1100"/>
    </row>
    <row r="4" spans="1:53" s="350" customFormat="1" ht="15.75" thickBot="1">
      <c r="A4" s="1104"/>
      <c r="B4" s="348" t="s">
        <v>254</v>
      </c>
      <c r="C4" s="346" t="s">
        <v>358</v>
      </c>
      <c r="D4" s="349" t="s">
        <v>254</v>
      </c>
      <c r="E4" s="346" t="s">
        <v>358</v>
      </c>
      <c r="F4" s="348" t="s">
        <v>254</v>
      </c>
      <c r="G4" s="346" t="s">
        <v>358</v>
      </c>
      <c r="H4" s="348" t="s">
        <v>254</v>
      </c>
      <c r="I4" s="346" t="s">
        <v>358</v>
      </c>
      <c r="J4" s="348" t="s">
        <v>254</v>
      </c>
      <c r="K4" s="346" t="s">
        <v>358</v>
      </c>
      <c r="L4" s="349" t="s">
        <v>254</v>
      </c>
      <c r="M4" s="346" t="s">
        <v>358</v>
      </c>
      <c r="N4" s="348" t="s">
        <v>254</v>
      </c>
      <c r="O4" s="346" t="s">
        <v>358</v>
      </c>
      <c r="P4" s="349" t="s">
        <v>254</v>
      </c>
      <c r="Q4" s="346" t="s">
        <v>358</v>
      </c>
      <c r="R4" s="348" t="s">
        <v>254</v>
      </c>
      <c r="S4" s="346" t="s">
        <v>358</v>
      </c>
      <c r="T4" s="348" t="s">
        <v>254</v>
      </c>
      <c r="U4" s="346" t="s">
        <v>358</v>
      </c>
      <c r="V4" s="348" t="s">
        <v>254</v>
      </c>
      <c r="W4" s="346" t="s">
        <v>358</v>
      </c>
      <c r="X4" s="349" t="s">
        <v>254</v>
      </c>
      <c r="Y4" s="346" t="s">
        <v>358</v>
      </c>
      <c r="Z4" s="348" t="s">
        <v>254</v>
      </c>
      <c r="AA4" s="346" t="s">
        <v>358</v>
      </c>
      <c r="AB4" s="349" t="s">
        <v>254</v>
      </c>
      <c r="AC4" s="346" t="s">
        <v>358</v>
      </c>
      <c r="AD4" s="348" t="s">
        <v>254</v>
      </c>
      <c r="AE4" s="346" t="s">
        <v>358</v>
      </c>
      <c r="AF4" s="348" t="s">
        <v>254</v>
      </c>
      <c r="AG4" s="346" t="s">
        <v>358</v>
      </c>
      <c r="AH4" s="348" t="s">
        <v>254</v>
      </c>
      <c r="AI4" s="346" t="s">
        <v>358</v>
      </c>
      <c r="AJ4" s="349" t="s">
        <v>254</v>
      </c>
      <c r="AK4" s="346" t="s">
        <v>358</v>
      </c>
      <c r="AL4" s="348" t="s">
        <v>254</v>
      </c>
      <c r="AM4" s="346" t="s">
        <v>358</v>
      </c>
      <c r="AN4" s="349" t="s">
        <v>254</v>
      </c>
      <c r="AO4" s="346" t="s">
        <v>358</v>
      </c>
      <c r="AP4" s="348" t="s">
        <v>254</v>
      </c>
      <c r="AQ4" s="346" t="s">
        <v>358</v>
      </c>
      <c r="AR4" s="348" t="s">
        <v>254</v>
      </c>
      <c r="AS4" s="346" t="s">
        <v>358</v>
      </c>
      <c r="AT4" s="348" t="s">
        <v>254</v>
      </c>
      <c r="AU4" s="346" t="s">
        <v>358</v>
      </c>
      <c r="AV4" s="349" t="s">
        <v>254</v>
      </c>
      <c r="AW4" s="346" t="s">
        <v>358</v>
      </c>
      <c r="AX4" s="348" t="s">
        <v>254</v>
      </c>
      <c r="AY4" s="346" t="s">
        <v>358</v>
      </c>
      <c r="AZ4" s="349" t="s">
        <v>254</v>
      </c>
      <c r="BA4" s="346" t="s">
        <v>358</v>
      </c>
    </row>
    <row r="5" spans="1:53" s="70" customFormat="1" ht="14.25">
      <c r="A5" s="263" t="s">
        <v>21</v>
      </c>
      <c r="B5" s="136"/>
      <c r="C5" s="138"/>
      <c r="D5" s="139"/>
      <c r="E5" s="143"/>
      <c r="F5" s="136"/>
      <c r="G5" s="138"/>
      <c r="H5" s="136"/>
      <c r="I5" s="138"/>
      <c r="J5" s="136"/>
      <c r="K5" s="138"/>
      <c r="L5" s="139"/>
      <c r="M5" s="143"/>
      <c r="N5" s="136"/>
      <c r="O5" s="138"/>
      <c r="P5" s="136"/>
      <c r="Q5" s="138"/>
      <c r="R5" s="136"/>
      <c r="S5" s="138"/>
      <c r="T5" s="139"/>
      <c r="U5" s="143"/>
      <c r="V5" s="144"/>
      <c r="W5" s="140"/>
      <c r="X5" s="171"/>
      <c r="Y5" s="842"/>
      <c r="Z5" s="170"/>
      <c r="AA5" s="172"/>
      <c r="AB5" s="137"/>
      <c r="AC5" s="143"/>
      <c r="AD5" s="136"/>
      <c r="AE5" s="138"/>
      <c r="AF5" s="170"/>
      <c r="AG5" s="172"/>
      <c r="AH5" s="170"/>
      <c r="AI5" s="172"/>
      <c r="AJ5" s="137"/>
      <c r="AK5" s="143"/>
      <c r="AL5" s="170"/>
      <c r="AM5" s="172"/>
      <c r="AN5" s="170"/>
      <c r="AO5" s="172"/>
      <c r="AP5" s="136"/>
      <c r="AQ5" s="138"/>
      <c r="AR5" s="170"/>
      <c r="AS5" s="172"/>
      <c r="AT5" s="170"/>
      <c r="AU5" s="172"/>
      <c r="AV5" s="170"/>
      <c r="AW5" s="842"/>
      <c r="AX5" s="136"/>
      <c r="AY5" s="138"/>
      <c r="AZ5" s="136"/>
      <c r="BA5" s="264"/>
    </row>
    <row r="6" spans="1:53" s="70" customFormat="1" ht="14.25">
      <c r="A6" s="67" t="s">
        <v>22</v>
      </c>
      <c r="B6" s="101"/>
      <c r="C6" s="71"/>
      <c r="D6" s="102"/>
      <c r="E6" s="75"/>
      <c r="F6" s="72"/>
      <c r="G6" s="74"/>
      <c r="H6" s="72"/>
      <c r="I6" s="74"/>
      <c r="J6" s="72"/>
      <c r="K6" s="74"/>
      <c r="L6" s="102"/>
      <c r="M6" s="75"/>
      <c r="N6" s="72"/>
      <c r="O6" s="74"/>
      <c r="P6" s="72"/>
      <c r="Q6" s="74"/>
      <c r="R6" s="72"/>
      <c r="S6" s="74"/>
      <c r="T6" s="102"/>
      <c r="U6" s="75"/>
      <c r="V6" s="76"/>
      <c r="W6" s="78"/>
      <c r="X6" s="73"/>
      <c r="Y6" s="75"/>
      <c r="Z6" s="79"/>
      <c r="AA6" s="80"/>
      <c r="AB6" s="73"/>
      <c r="AC6" s="75"/>
      <c r="AD6" s="72"/>
      <c r="AE6" s="74"/>
      <c r="AF6" s="72"/>
      <c r="AG6" s="74"/>
      <c r="AH6" s="72"/>
      <c r="AI6" s="74"/>
      <c r="AJ6" s="73"/>
      <c r="AK6" s="75"/>
      <c r="AL6" s="72"/>
      <c r="AM6" s="74"/>
      <c r="AN6" s="847"/>
      <c r="AO6" s="69"/>
      <c r="AP6" s="851"/>
      <c r="AQ6" s="603"/>
      <c r="AR6" s="858"/>
      <c r="AS6" s="604"/>
      <c r="AT6" s="72"/>
      <c r="AU6" s="74"/>
      <c r="AV6" s="81"/>
      <c r="AW6" s="82"/>
      <c r="AX6" s="858"/>
      <c r="AY6" s="604"/>
      <c r="AZ6" s="81"/>
      <c r="BA6" s="74"/>
    </row>
    <row r="7" spans="1:53" s="70" customFormat="1" ht="14.25">
      <c r="A7" s="259" t="s">
        <v>23</v>
      </c>
      <c r="B7" s="265">
        <v>79257</v>
      </c>
      <c r="C7" s="85">
        <v>94062</v>
      </c>
      <c r="D7" s="103">
        <v>2929</v>
      </c>
      <c r="E7" s="86">
        <v>1242</v>
      </c>
      <c r="F7" s="76">
        <v>11114</v>
      </c>
      <c r="G7" s="78">
        <v>9014</v>
      </c>
      <c r="H7" s="76">
        <v>86324</v>
      </c>
      <c r="I7" s="78">
        <v>129395</v>
      </c>
      <c r="J7" s="76">
        <v>20192</v>
      </c>
      <c r="K7" s="78">
        <v>27424</v>
      </c>
      <c r="L7" s="103">
        <v>28959</v>
      </c>
      <c r="M7" s="86">
        <v>45661</v>
      </c>
      <c r="N7" s="76">
        <v>5608</v>
      </c>
      <c r="O7" s="78">
        <v>5497</v>
      </c>
      <c r="P7" s="76">
        <v>15336</v>
      </c>
      <c r="Q7" s="78">
        <v>15539</v>
      </c>
      <c r="R7" s="76">
        <v>23076</v>
      </c>
      <c r="S7" s="78">
        <v>35543</v>
      </c>
      <c r="T7" s="103">
        <v>13942</v>
      </c>
      <c r="U7" s="86">
        <v>17094</v>
      </c>
      <c r="V7" s="76">
        <v>269698</v>
      </c>
      <c r="W7" s="78">
        <v>336353</v>
      </c>
      <c r="X7" s="77">
        <v>179738</v>
      </c>
      <c r="Y7" s="86">
        <v>243750</v>
      </c>
      <c r="Z7" s="844">
        <v>8231</v>
      </c>
      <c r="AA7" s="90">
        <v>13322</v>
      </c>
      <c r="AB7" s="73">
        <v>27908</v>
      </c>
      <c r="AC7" s="75">
        <v>49278</v>
      </c>
      <c r="AD7" s="76">
        <v>100401</v>
      </c>
      <c r="AE7" s="78">
        <v>114884</v>
      </c>
      <c r="AF7" s="76">
        <v>174863</v>
      </c>
      <c r="AG7" s="74">
        <v>203191</v>
      </c>
      <c r="AH7" s="76">
        <v>52084</v>
      </c>
      <c r="AI7" s="78">
        <v>63084</v>
      </c>
      <c r="AJ7" s="77">
        <v>36280</v>
      </c>
      <c r="AK7" s="86">
        <v>44507</v>
      </c>
      <c r="AL7" s="72"/>
      <c r="AM7" s="74"/>
      <c r="AN7" s="848">
        <v>340127.84</v>
      </c>
      <c r="AO7" s="548">
        <v>501444</v>
      </c>
      <c r="AP7" s="365">
        <v>18735</v>
      </c>
      <c r="AQ7" s="595">
        <v>25484</v>
      </c>
      <c r="AR7" s="91">
        <v>27827</v>
      </c>
      <c r="AS7" s="93">
        <v>63517</v>
      </c>
      <c r="AT7" s="76">
        <v>128962</v>
      </c>
      <c r="AU7" s="78">
        <v>162960</v>
      </c>
      <c r="AV7" s="94">
        <f t="shared" ref="AV7:AW10" si="0">SUM(B7+D7+F7+H7+J7+L7+N7+P7+R7+T7+V7+X7+Z7+AB7+AD7+AF7+AH7+AJ7+AL7+AN7+AP7+AR7+AT7)</f>
        <v>1651591.84</v>
      </c>
      <c r="AW7" s="99">
        <f t="shared" si="0"/>
        <v>2202245</v>
      </c>
      <c r="AX7" s="91"/>
      <c r="AY7" s="93"/>
      <c r="AZ7" s="94">
        <f t="shared" ref="AZ7:BA10" si="1">AV7+AX7</f>
        <v>1651591.84</v>
      </c>
      <c r="BA7" s="95">
        <f t="shared" si="1"/>
        <v>2202245</v>
      </c>
    </row>
    <row r="8" spans="1:53" s="70" customFormat="1" ht="14.25">
      <c r="A8" s="259" t="s">
        <v>24</v>
      </c>
      <c r="B8" s="265">
        <v>198361</v>
      </c>
      <c r="C8" s="85">
        <v>259689</v>
      </c>
      <c r="D8" s="103">
        <v>20164</v>
      </c>
      <c r="E8" s="86">
        <v>18304</v>
      </c>
      <c r="F8" s="76">
        <v>41487</v>
      </c>
      <c r="G8" s="78">
        <v>38373</v>
      </c>
      <c r="H8" s="76">
        <v>226252</v>
      </c>
      <c r="I8" s="78">
        <v>280581</v>
      </c>
      <c r="J8" s="76">
        <v>59450</v>
      </c>
      <c r="K8" s="78">
        <v>64462</v>
      </c>
      <c r="L8" s="103">
        <v>121306</v>
      </c>
      <c r="M8" s="86">
        <v>125463</v>
      </c>
      <c r="N8" s="76">
        <v>35401</v>
      </c>
      <c r="O8" s="78">
        <v>37632</v>
      </c>
      <c r="P8" s="76">
        <v>28926</v>
      </c>
      <c r="Q8" s="78">
        <v>38017</v>
      </c>
      <c r="R8" s="76">
        <v>105042</v>
      </c>
      <c r="S8" s="78">
        <v>114766</v>
      </c>
      <c r="T8" s="103">
        <v>27340</v>
      </c>
      <c r="U8" s="86">
        <v>33520</v>
      </c>
      <c r="V8" s="76">
        <v>754949</v>
      </c>
      <c r="W8" s="78">
        <v>892381</v>
      </c>
      <c r="X8" s="77">
        <v>991403</v>
      </c>
      <c r="Y8" s="86">
        <v>970781</v>
      </c>
      <c r="Z8" s="844">
        <v>55356</v>
      </c>
      <c r="AA8" s="90">
        <v>57387</v>
      </c>
      <c r="AB8" s="73">
        <v>71757</v>
      </c>
      <c r="AC8" s="75">
        <v>86666</v>
      </c>
      <c r="AD8" s="76">
        <v>195199</v>
      </c>
      <c r="AE8" s="78">
        <v>241423</v>
      </c>
      <c r="AF8" s="76">
        <v>478867</v>
      </c>
      <c r="AG8" s="78">
        <v>570559</v>
      </c>
      <c r="AH8" s="76">
        <v>157053</v>
      </c>
      <c r="AI8" s="78">
        <v>198804</v>
      </c>
      <c r="AJ8" s="77">
        <v>150424</v>
      </c>
      <c r="AK8" s="86">
        <v>157495</v>
      </c>
      <c r="AL8" s="72"/>
      <c r="AM8" s="74"/>
      <c r="AN8" s="848">
        <v>1173480.4099999999</v>
      </c>
      <c r="AO8" s="548">
        <v>1280686</v>
      </c>
      <c r="AP8" s="365">
        <v>42002</v>
      </c>
      <c r="AQ8" s="595">
        <v>47781</v>
      </c>
      <c r="AR8" s="91">
        <v>73918</v>
      </c>
      <c r="AS8" s="93">
        <v>102277</v>
      </c>
      <c r="AT8" s="76">
        <v>265336</v>
      </c>
      <c r="AU8" s="78">
        <v>337488</v>
      </c>
      <c r="AV8" s="94">
        <f t="shared" si="0"/>
        <v>5273473.41</v>
      </c>
      <c r="AW8" s="99">
        <f t="shared" si="0"/>
        <v>5954535</v>
      </c>
      <c r="AX8" s="91"/>
      <c r="AY8" s="93"/>
      <c r="AZ8" s="94">
        <f t="shared" si="1"/>
        <v>5273473.41</v>
      </c>
      <c r="BA8" s="95">
        <f t="shared" si="1"/>
        <v>5954535</v>
      </c>
    </row>
    <row r="9" spans="1:53" s="70" customFormat="1" ht="14.25">
      <c r="A9" s="259" t="s">
        <v>25</v>
      </c>
      <c r="B9" s="265">
        <v>120716</v>
      </c>
      <c r="C9" s="85">
        <v>138387</v>
      </c>
      <c r="D9" s="103">
        <v>31</v>
      </c>
      <c r="E9" s="86">
        <v>11</v>
      </c>
      <c r="F9" s="76">
        <v>702</v>
      </c>
      <c r="G9" s="78">
        <v>854</v>
      </c>
      <c r="H9" s="76">
        <v>125104</v>
      </c>
      <c r="I9" s="78">
        <v>222882</v>
      </c>
      <c r="J9" s="76">
        <v>11597</v>
      </c>
      <c r="K9" s="78">
        <v>10452</v>
      </c>
      <c r="L9" s="103">
        <v>68118</v>
      </c>
      <c r="M9" s="86">
        <v>87599</v>
      </c>
      <c r="N9" s="76">
        <v>3681</v>
      </c>
      <c r="O9" s="78">
        <v>7339</v>
      </c>
      <c r="P9" s="76">
        <v>699</v>
      </c>
      <c r="Q9" s="78">
        <v>2377</v>
      </c>
      <c r="R9" s="76">
        <v>3751</v>
      </c>
      <c r="S9" s="78">
        <v>8045</v>
      </c>
      <c r="T9" s="103">
        <v>1005</v>
      </c>
      <c r="U9" s="86">
        <v>1509</v>
      </c>
      <c r="V9" s="76">
        <v>579862</v>
      </c>
      <c r="W9" s="78">
        <v>699948</v>
      </c>
      <c r="X9" s="77">
        <v>276877</v>
      </c>
      <c r="Y9" s="86">
        <v>425788</v>
      </c>
      <c r="Z9" s="844">
        <v>13904</v>
      </c>
      <c r="AA9" s="90">
        <v>17196</v>
      </c>
      <c r="AB9" s="73">
        <v>67088</v>
      </c>
      <c r="AC9" s="75">
        <v>72631</v>
      </c>
      <c r="AD9" s="76">
        <v>65127</v>
      </c>
      <c r="AE9" s="78">
        <v>101531</v>
      </c>
      <c r="AF9" s="76">
        <v>74613</v>
      </c>
      <c r="AG9" s="78">
        <v>107777</v>
      </c>
      <c r="AH9" s="76">
        <v>13063</v>
      </c>
      <c r="AI9" s="78">
        <v>23645</v>
      </c>
      <c r="AJ9" s="77">
        <v>2206</v>
      </c>
      <c r="AK9" s="86">
        <v>3209</v>
      </c>
      <c r="AL9" s="72"/>
      <c r="AM9" s="74"/>
      <c r="AN9" s="848">
        <v>559700.55000000005</v>
      </c>
      <c r="AO9" s="548">
        <v>527406</v>
      </c>
      <c r="AP9" s="365">
        <v>5821</v>
      </c>
      <c r="AQ9" s="595">
        <v>11758</v>
      </c>
      <c r="AR9" s="91">
        <v>10567</v>
      </c>
      <c r="AS9" s="93">
        <v>15779</v>
      </c>
      <c r="AT9" s="76">
        <v>32611</v>
      </c>
      <c r="AU9" s="78">
        <v>25045</v>
      </c>
      <c r="AV9" s="94">
        <f t="shared" si="0"/>
        <v>2036843.55</v>
      </c>
      <c r="AW9" s="99">
        <f t="shared" si="0"/>
        <v>2511168</v>
      </c>
      <c r="AX9" s="91"/>
      <c r="AY9" s="93"/>
      <c r="AZ9" s="94">
        <f t="shared" si="1"/>
        <v>2036843.55</v>
      </c>
      <c r="BA9" s="95">
        <f t="shared" si="1"/>
        <v>2511168</v>
      </c>
    </row>
    <row r="10" spans="1:53" s="70" customFormat="1" ht="14.25">
      <c r="A10" s="261" t="s">
        <v>26</v>
      </c>
      <c r="B10" s="68">
        <f t="shared" ref="B10:AG10" si="2">SUM(B7:B9)</f>
        <v>398334</v>
      </c>
      <c r="C10" s="370">
        <f t="shared" si="2"/>
        <v>492138</v>
      </c>
      <c r="D10" s="96">
        <f t="shared" si="2"/>
        <v>23124</v>
      </c>
      <c r="E10" s="366">
        <f t="shared" si="2"/>
        <v>19557</v>
      </c>
      <c r="F10" s="68">
        <f t="shared" si="2"/>
        <v>53303</v>
      </c>
      <c r="G10" s="370">
        <f t="shared" si="2"/>
        <v>48241</v>
      </c>
      <c r="H10" s="68">
        <f t="shared" si="2"/>
        <v>437680</v>
      </c>
      <c r="I10" s="370">
        <f t="shared" si="2"/>
        <v>632858</v>
      </c>
      <c r="J10" s="68">
        <f t="shared" si="2"/>
        <v>91239</v>
      </c>
      <c r="K10" s="370">
        <f t="shared" si="2"/>
        <v>102338</v>
      </c>
      <c r="L10" s="96">
        <f t="shared" si="2"/>
        <v>218383</v>
      </c>
      <c r="M10" s="366">
        <f t="shared" si="2"/>
        <v>258723</v>
      </c>
      <c r="N10" s="68">
        <f t="shared" si="2"/>
        <v>44690</v>
      </c>
      <c r="O10" s="370">
        <f t="shared" si="2"/>
        <v>50468</v>
      </c>
      <c r="P10" s="68">
        <f t="shared" si="2"/>
        <v>44961</v>
      </c>
      <c r="Q10" s="370">
        <f t="shared" si="2"/>
        <v>55933</v>
      </c>
      <c r="R10" s="68">
        <f t="shared" si="2"/>
        <v>131869</v>
      </c>
      <c r="S10" s="370">
        <f t="shared" si="2"/>
        <v>158354</v>
      </c>
      <c r="T10" s="96">
        <f t="shared" si="2"/>
        <v>42287</v>
      </c>
      <c r="U10" s="366">
        <f t="shared" si="2"/>
        <v>52123</v>
      </c>
      <c r="V10" s="68">
        <f t="shared" si="2"/>
        <v>1604509</v>
      </c>
      <c r="W10" s="370">
        <f t="shared" si="2"/>
        <v>1928682</v>
      </c>
      <c r="X10" s="68">
        <f t="shared" si="2"/>
        <v>1448018</v>
      </c>
      <c r="Y10" s="366">
        <f t="shared" si="2"/>
        <v>1640319</v>
      </c>
      <c r="Z10" s="68">
        <f t="shared" si="2"/>
        <v>77491</v>
      </c>
      <c r="AA10" s="370">
        <f t="shared" si="2"/>
        <v>87905</v>
      </c>
      <c r="AB10" s="68">
        <f t="shared" si="2"/>
        <v>166753</v>
      </c>
      <c r="AC10" s="366">
        <f t="shared" si="2"/>
        <v>208575</v>
      </c>
      <c r="AD10" s="68">
        <f t="shared" si="2"/>
        <v>360727</v>
      </c>
      <c r="AE10" s="370">
        <f t="shared" si="2"/>
        <v>457838</v>
      </c>
      <c r="AF10" s="68">
        <f t="shared" si="2"/>
        <v>728343</v>
      </c>
      <c r="AG10" s="370">
        <f t="shared" si="2"/>
        <v>881527</v>
      </c>
      <c r="AH10" s="68">
        <f t="shared" ref="AH10:AU10" si="3">SUM(AH7:AH9)</f>
        <v>222200</v>
      </c>
      <c r="AI10" s="370">
        <f t="shared" si="3"/>
        <v>285533</v>
      </c>
      <c r="AJ10" s="68">
        <f t="shared" si="3"/>
        <v>188910</v>
      </c>
      <c r="AK10" s="366">
        <f t="shared" si="3"/>
        <v>205211</v>
      </c>
      <c r="AL10" s="68">
        <f t="shared" si="3"/>
        <v>0</v>
      </c>
      <c r="AM10" s="370">
        <f t="shared" si="3"/>
        <v>0</v>
      </c>
      <c r="AN10" s="68">
        <f t="shared" si="3"/>
        <v>2073308.8</v>
      </c>
      <c r="AO10" s="370">
        <f t="shared" si="3"/>
        <v>2309536</v>
      </c>
      <c r="AP10" s="68">
        <f t="shared" si="3"/>
        <v>66558</v>
      </c>
      <c r="AQ10" s="370">
        <f t="shared" si="3"/>
        <v>85023</v>
      </c>
      <c r="AR10" s="68">
        <f t="shared" si="3"/>
        <v>112312</v>
      </c>
      <c r="AS10" s="370">
        <f t="shared" si="3"/>
        <v>181573</v>
      </c>
      <c r="AT10" s="68">
        <f t="shared" si="3"/>
        <v>426909</v>
      </c>
      <c r="AU10" s="370">
        <f t="shared" si="3"/>
        <v>525493</v>
      </c>
      <c r="AV10" s="94">
        <f t="shared" si="0"/>
        <v>8961908.8000000007</v>
      </c>
      <c r="AW10" s="99">
        <f t="shared" si="0"/>
        <v>10667948</v>
      </c>
      <c r="AX10" s="94">
        <f>SUM(AX7:AX9)</f>
        <v>0</v>
      </c>
      <c r="AY10" s="106">
        <f>SUM(AY7:AY9)</f>
        <v>0</v>
      </c>
      <c r="AZ10" s="94">
        <f t="shared" si="1"/>
        <v>8961908.8000000007</v>
      </c>
      <c r="BA10" s="95">
        <f t="shared" si="1"/>
        <v>10667948</v>
      </c>
    </row>
    <row r="11" spans="1:53" s="70" customFormat="1" ht="14.25">
      <c r="A11" s="259" t="s">
        <v>27</v>
      </c>
      <c r="B11" s="265"/>
      <c r="C11" s="85"/>
      <c r="D11" s="103"/>
      <c r="E11" s="86"/>
      <c r="F11" s="76"/>
      <c r="G11" s="78"/>
      <c r="H11" s="76"/>
      <c r="I11" s="78"/>
      <c r="J11" s="76"/>
      <c r="K11" s="78"/>
      <c r="L11" s="103"/>
      <c r="M11" s="86"/>
      <c r="N11" s="76"/>
      <c r="O11" s="78"/>
      <c r="P11" s="76"/>
      <c r="Q11" s="78"/>
      <c r="R11" s="76"/>
      <c r="S11" s="78"/>
      <c r="T11" s="103"/>
      <c r="U11" s="86"/>
      <c r="V11" s="76"/>
      <c r="W11" s="78"/>
      <c r="X11" s="77"/>
      <c r="Y11" s="86"/>
      <c r="Z11" s="76"/>
      <c r="AA11" s="78"/>
      <c r="AB11" s="73"/>
      <c r="AC11" s="75"/>
      <c r="AD11" s="76"/>
      <c r="AE11" s="78"/>
      <c r="AF11" s="76"/>
      <c r="AG11" s="78"/>
      <c r="AH11" s="76"/>
      <c r="AI11" s="78"/>
      <c r="AJ11" s="77"/>
      <c r="AK11" s="86"/>
      <c r="AL11" s="72"/>
      <c r="AM11" s="74"/>
      <c r="AN11" s="847"/>
      <c r="AO11" s="69"/>
      <c r="AP11" s="365"/>
      <c r="AQ11" s="595"/>
      <c r="AR11" s="91"/>
      <c r="AS11" s="93"/>
      <c r="AT11" s="76"/>
      <c r="AU11" s="78"/>
      <c r="AV11" s="94"/>
      <c r="AW11" s="99"/>
      <c r="AX11" s="91"/>
      <c r="AY11" s="93"/>
      <c r="AZ11" s="94"/>
      <c r="BA11" s="95"/>
    </row>
    <row r="12" spans="1:53" s="70" customFormat="1" ht="14.25">
      <c r="A12" s="259" t="s">
        <v>28</v>
      </c>
      <c r="B12" s="265">
        <f t="shared" ref="B12:L12" si="4">B10</f>
        <v>398334</v>
      </c>
      <c r="C12" s="855">
        <f t="shared" si="4"/>
        <v>492138</v>
      </c>
      <c r="D12" s="104">
        <f t="shared" si="4"/>
        <v>23124</v>
      </c>
      <c r="E12" s="105">
        <f t="shared" si="4"/>
        <v>19557</v>
      </c>
      <c r="F12" s="94">
        <f t="shared" si="4"/>
        <v>53303</v>
      </c>
      <c r="G12" s="106">
        <f t="shared" si="4"/>
        <v>48241</v>
      </c>
      <c r="H12" s="94">
        <f t="shared" si="4"/>
        <v>437680</v>
      </c>
      <c r="I12" s="106">
        <f t="shared" si="4"/>
        <v>632858</v>
      </c>
      <c r="J12" s="94">
        <f t="shared" si="4"/>
        <v>91239</v>
      </c>
      <c r="K12" s="106">
        <f t="shared" si="4"/>
        <v>102338</v>
      </c>
      <c r="L12" s="104">
        <f t="shared" si="4"/>
        <v>218383</v>
      </c>
      <c r="M12" s="105">
        <f t="shared" ref="M12:Y12" si="5">M10</f>
        <v>258723</v>
      </c>
      <c r="N12" s="94">
        <f t="shared" si="5"/>
        <v>44690</v>
      </c>
      <c r="O12" s="106">
        <f t="shared" si="5"/>
        <v>50468</v>
      </c>
      <c r="P12" s="94">
        <f t="shared" si="5"/>
        <v>44961</v>
      </c>
      <c r="Q12" s="106">
        <f t="shared" si="5"/>
        <v>55933</v>
      </c>
      <c r="R12" s="94">
        <f t="shared" si="5"/>
        <v>131869</v>
      </c>
      <c r="S12" s="106">
        <f t="shared" si="5"/>
        <v>158354</v>
      </c>
      <c r="T12" s="104">
        <f t="shared" si="5"/>
        <v>42287</v>
      </c>
      <c r="U12" s="105">
        <f t="shared" si="5"/>
        <v>52123</v>
      </c>
      <c r="V12" s="94">
        <f t="shared" si="5"/>
        <v>1604509</v>
      </c>
      <c r="W12" s="106">
        <f t="shared" si="5"/>
        <v>1928682</v>
      </c>
      <c r="X12" s="104">
        <f t="shared" si="5"/>
        <v>1448018</v>
      </c>
      <c r="Y12" s="105">
        <f t="shared" si="5"/>
        <v>1640319</v>
      </c>
      <c r="Z12" s="76">
        <f>Z10</f>
        <v>77491</v>
      </c>
      <c r="AA12" s="602">
        <f>AA10</f>
        <v>87905</v>
      </c>
      <c r="AB12" s="102">
        <f>AB10</f>
        <v>166753</v>
      </c>
      <c r="AC12" s="856">
        <f>AC10</f>
        <v>208575</v>
      </c>
      <c r="AD12" s="76">
        <f>AD10</f>
        <v>360727</v>
      </c>
      <c r="AE12" s="594">
        <f t="shared" ref="AE12:AS12" si="6">AE10</f>
        <v>457838</v>
      </c>
      <c r="AF12" s="76">
        <f t="shared" si="6"/>
        <v>728343</v>
      </c>
      <c r="AG12" s="594">
        <f t="shared" si="6"/>
        <v>881527</v>
      </c>
      <c r="AH12" s="76">
        <f t="shared" si="6"/>
        <v>222200</v>
      </c>
      <c r="AI12" s="594">
        <f t="shared" si="6"/>
        <v>285533</v>
      </c>
      <c r="AJ12" s="103">
        <f t="shared" si="6"/>
        <v>188910</v>
      </c>
      <c r="AK12" s="845">
        <f t="shared" si="6"/>
        <v>205211</v>
      </c>
      <c r="AL12" s="76">
        <f t="shared" si="6"/>
        <v>0</v>
      </c>
      <c r="AM12" s="594">
        <f t="shared" si="6"/>
        <v>0</v>
      </c>
      <c r="AN12" s="76">
        <f t="shared" si="6"/>
        <v>2073308.8</v>
      </c>
      <c r="AO12" s="594">
        <f t="shared" si="6"/>
        <v>2309536</v>
      </c>
      <c r="AP12" s="76">
        <f t="shared" si="6"/>
        <v>66558</v>
      </c>
      <c r="AQ12" s="594">
        <f t="shared" si="6"/>
        <v>85023</v>
      </c>
      <c r="AR12" s="76">
        <f t="shared" si="6"/>
        <v>112312</v>
      </c>
      <c r="AS12" s="594">
        <f t="shared" si="6"/>
        <v>181573</v>
      </c>
      <c r="AT12" s="91">
        <f>AT10</f>
        <v>426909</v>
      </c>
      <c r="AU12" s="93">
        <f>AU10</f>
        <v>525493</v>
      </c>
      <c r="AV12" s="94">
        <f>SUM(B12+D12+F12+H12+J12+L12+N12+P12+R12+T12+V12+X12+Z12+AB12+AD12+AF12+AH12+AJ12+AL12+AN12+AP12+AR12+AT12)</f>
        <v>8961908.8000000007</v>
      </c>
      <c r="AW12" s="99">
        <f>SUM(C12+E12+G12+I12+K12+M12+O12+Q12+S12+U12+W12+Y12+AA12+AC12+AE12+AG12+AI12+AK12+AM12+AO12+AQ12+AS12+AU12)</f>
        <v>10667948</v>
      </c>
      <c r="AX12" s="91">
        <f>AX10</f>
        <v>0</v>
      </c>
      <c r="AY12" s="605">
        <f>AY10</f>
        <v>0</v>
      </c>
      <c r="AZ12" s="94">
        <f>AV12+AX12</f>
        <v>8961908.8000000007</v>
      </c>
      <c r="BA12" s="95">
        <f>AW12+AY12</f>
        <v>10667948</v>
      </c>
    </row>
    <row r="13" spans="1:53" s="70" customFormat="1" ht="14.25">
      <c r="A13" s="67" t="s">
        <v>29</v>
      </c>
      <c r="B13" s="265"/>
      <c r="C13" s="85"/>
      <c r="D13" s="103"/>
      <c r="E13" s="86"/>
      <c r="F13" s="76"/>
      <c r="G13" s="78"/>
      <c r="H13" s="76"/>
      <c r="I13" s="78"/>
      <c r="J13" s="76"/>
      <c r="K13" s="78"/>
      <c r="L13" s="103"/>
      <c r="M13" s="86"/>
      <c r="N13" s="76"/>
      <c r="O13" s="78"/>
      <c r="P13" s="76"/>
      <c r="Q13" s="78"/>
      <c r="R13" s="76"/>
      <c r="S13" s="78"/>
      <c r="T13" s="103"/>
      <c r="U13" s="86"/>
      <c r="V13" s="76"/>
      <c r="W13" s="78"/>
      <c r="X13" s="77"/>
      <c r="Y13" s="86"/>
      <c r="Z13" s="76"/>
      <c r="AA13" s="78"/>
      <c r="AB13" s="73"/>
      <c r="AC13" s="75"/>
      <c r="AD13" s="76"/>
      <c r="AE13" s="78"/>
      <c r="AF13" s="76"/>
      <c r="AG13" s="78"/>
      <c r="AH13" s="76"/>
      <c r="AI13" s="78"/>
      <c r="AJ13" s="77"/>
      <c r="AK13" s="86"/>
      <c r="AL13" s="72"/>
      <c r="AM13" s="74"/>
      <c r="AN13" s="849"/>
      <c r="AO13" s="69"/>
      <c r="AP13" s="365"/>
      <c r="AQ13" s="595"/>
      <c r="AR13" s="91"/>
      <c r="AS13" s="93"/>
      <c r="AT13" s="76"/>
      <c r="AU13" s="78"/>
      <c r="AV13" s="94"/>
      <c r="AW13" s="99"/>
      <c r="AX13" s="91"/>
      <c r="AY13" s="93"/>
      <c r="AZ13" s="94"/>
      <c r="BA13" s="95"/>
    </row>
    <row r="14" spans="1:53" s="362" customFormat="1" thickBot="1">
      <c r="A14" s="351" t="s">
        <v>26</v>
      </c>
      <c r="B14" s="352">
        <f>B10</f>
        <v>398334</v>
      </c>
      <c r="C14" s="353">
        <f t="shared" ref="C14:W14" si="7">C10</f>
        <v>492138</v>
      </c>
      <c r="D14" s="354">
        <f t="shared" si="7"/>
        <v>23124</v>
      </c>
      <c r="E14" s="355">
        <f t="shared" si="7"/>
        <v>19557</v>
      </c>
      <c r="F14" s="352">
        <f t="shared" si="7"/>
        <v>53303</v>
      </c>
      <c r="G14" s="356">
        <f t="shared" si="7"/>
        <v>48241</v>
      </c>
      <c r="H14" s="352">
        <f t="shared" si="7"/>
        <v>437680</v>
      </c>
      <c r="I14" s="356">
        <f t="shared" si="7"/>
        <v>632858</v>
      </c>
      <c r="J14" s="352">
        <f t="shared" si="7"/>
        <v>91239</v>
      </c>
      <c r="K14" s="356">
        <f t="shared" si="7"/>
        <v>102338</v>
      </c>
      <c r="L14" s="354">
        <f t="shared" si="7"/>
        <v>218383</v>
      </c>
      <c r="M14" s="355">
        <f t="shared" si="7"/>
        <v>258723</v>
      </c>
      <c r="N14" s="352">
        <f t="shared" si="7"/>
        <v>44690</v>
      </c>
      <c r="O14" s="356">
        <f t="shared" si="7"/>
        <v>50468</v>
      </c>
      <c r="P14" s="352">
        <f t="shared" si="7"/>
        <v>44961</v>
      </c>
      <c r="Q14" s="356">
        <f t="shared" si="7"/>
        <v>55933</v>
      </c>
      <c r="R14" s="352">
        <f t="shared" si="7"/>
        <v>131869</v>
      </c>
      <c r="S14" s="356">
        <f t="shared" si="7"/>
        <v>158354</v>
      </c>
      <c r="T14" s="354">
        <f t="shared" si="7"/>
        <v>42287</v>
      </c>
      <c r="U14" s="355">
        <f t="shared" si="7"/>
        <v>52123</v>
      </c>
      <c r="V14" s="352">
        <f t="shared" si="7"/>
        <v>1604509</v>
      </c>
      <c r="W14" s="356">
        <f t="shared" si="7"/>
        <v>1928682</v>
      </c>
      <c r="X14" s="472">
        <f t="shared" ref="X14:AC14" si="8">X10</f>
        <v>1448018</v>
      </c>
      <c r="Y14" s="843">
        <f t="shared" si="8"/>
        <v>1640319</v>
      </c>
      <c r="Z14" s="357">
        <f t="shared" si="8"/>
        <v>77491</v>
      </c>
      <c r="AA14" s="473">
        <f t="shared" si="8"/>
        <v>87905</v>
      </c>
      <c r="AB14" s="359">
        <f t="shared" si="8"/>
        <v>166753</v>
      </c>
      <c r="AC14" s="857">
        <f t="shared" si="8"/>
        <v>208575</v>
      </c>
      <c r="AD14" s="357">
        <f t="shared" ref="AD14:AI14" si="9">AD10</f>
        <v>360727</v>
      </c>
      <c r="AE14" s="358">
        <f t="shared" si="9"/>
        <v>457838</v>
      </c>
      <c r="AF14" s="357">
        <f t="shared" si="9"/>
        <v>728343</v>
      </c>
      <c r="AG14" s="473">
        <f t="shared" si="9"/>
        <v>881527</v>
      </c>
      <c r="AH14" s="357">
        <f t="shared" si="9"/>
        <v>222200</v>
      </c>
      <c r="AI14" s="473">
        <f t="shared" si="9"/>
        <v>285533</v>
      </c>
      <c r="AJ14" s="357">
        <f t="shared" ref="AJ14:AU14" si="10">AJ10</f>
        <v>188910</v>
      </c>
      <c r="AK14" s="846">
        <f t="shared" si="10"/>
        <v>205211</v>
      </c>
      <c r="AL14" s="357">
        <f t="shared" si="10"/>
        <v>0</v>
      </c>
      <c r="AM14" s="473">
        <f t="shared" si="10"/>
        <v>0</v>
      </c>
      <c r="AN14" s="850">
        <f t="shared" si="10"/>
        <v>2073308.8</v>
      </c>
      <c r="AO14" s="474">
        <f t="shared" si="10"/>
        <v>2309536</v>
      </c>
      <c r="AP14" s="852">
        <f t="shared" si="10"/>
        <v>66558</v>
      </c>
      <c r="AQ14" s="853">
        <f t="shared" si="10"/>
        <v>85023</v>
      </c>
      <c r="AR14" s="360">
        <f t="shared" si="10"/>
        <v>112312</v>
      </c>
      <c r="AS14" s="361">
        <f t="shared" si="10"/>
        <v>181573</v>
      </c>
      <c r="AT14" s="360">
        <f t="shared" si="10"/>
        <v>426909</v>
      </c>
      <c r="AU14" s="361">
        <f t="shared" si="10"/>
        <v>525493</v>
      </c>
      <c r="AV14" s="357">
        <f>SUM(B14+D14+F14+H14+J14+L14+N14+P14+R14+T14+V14+X14+Z14+AB14+AD14+AF14+AH14+AJ14+AL14+AN14+AP14+AR14+AT14)</f>
        <v>8961908.8000000007</v>
      </c>
      <c r="AW14" s="843">
        <f>SUM(C14+E14+G14+I14+K14+M14+O14+Q14+S14+U14+W14+Y14+AA14+AC14+AE14+AG14+AI14+AK14+AM14+AO14+AQ14+AS14+AU14)</f>
        <v>10667948</v>
      </c>
      <c r="AX14" s="360">
        <f>AX10</f>
        <v>0</v>
      </c>
      <c r="AY14" s="606">
        <f>AY10</f>
        <v>0</v>
      </c>
      <c r="AZ14" s="357">
        <f>AV14+AX14</f>
        <v>8961908.8000000007</v>
      </c>
      <c r="BA14" s="358">
        <f>AW14+AY14</f>
        <v>10667948</v>
      </c>
    </row>
  </sheetData>
  <mergeCells count="29">
    <mergeCell ref="A1:AZ1"/>
    <mergeCell ref="A2:AZ2"/>
    <mergeCell ref="A3:A4"/>
    <mergeCell ref="N3:O3"/>
    <mergeCell ref="P3:Q3"/>
    <mergeCell ref="R3:S3"/>
    <mergeCell ref="B3:C3"/>
    <mergeCell ref="D3:E3"/>
    <mergeCell ref="F3:G3"/>
    <mergeCell ref="H3:I3"/>
    <mergeCell ref="J3:K3"/>
    <mergeCell ref="L3:M3"/>
    <mergeCell ref="V3:W3"/>
    <mergeCell ref="X3:Y3"/>
    <mergeCell ref="T3:U3"/>
    <mergeCell ref="Z3:AA3"/>
    <mergeCell ref="AB3:AC3"/>
    <mergeCell ref="AD3:AE3"/>
    <mergeCell ref="AH3:AI3"/>
    <mergeCell ref="AZ3:BA3"/>
    <mergeCell ref="AX3:AY3"/>
    <mergeCell ref="AJ3:AK3"/>
    <mergeCell ref="AL3:AM3"/>
    <mergeCell ref="AN3:AO3"/>
    <mergeCell ref="AP3:AQ3"/>
    <mergeCell ref="AR3:AS3"/>
    <mergeCell ref="AT3:AU3"/>
    <mergeCell ref="AV3:AW3"/>
    <mergeCell ref="AF3:A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28"/>
  <sheetViews>
    <sheetView workbookViewId="0">
      <pane xSplit="1" topLeftCell="AT1" activePane="topRight" state="frozen"/>
      <selection pane="topRight" sqref="A1:XFD1048576"/>
    </sheetView>
  </sheetViews>
  <sheetFormatPr defaultRowHeight="12.75"/>
  <cols>
    <col min="1" max="1" width="37.42578125" style="148" bestFit="1" customWidth="1"/>
    <col min="2" max="53" width="12.85546875" style="148" bestFit="1" customWidth="1"/>
    <col min="54" max="16384" width="9.140625" style="148"/>
  </cols>
  <sheetData>
    <row r="1" spans="1:53" s="169" customFormat="1" ht="14.25">
      <c r="A1" s="1077" t="s">
        <v>145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1077"/>
      <c r="T1" s="1077"/>
      <c r="U1" s="1077"/>
      <c r="V1" s="1077"/>
      <c r="W1" s="1077"/>
      <c r="X1" s="1077"/>
      <c r="Y1" s="1077"/>
      <c r="Z1" s="1077"/>
      <c r="AA1" s="1077"/>
      <c r="AB1" s="1077"/>
      <c r="AC1" s="1077"/>
      <c r="AD1" s="1077"/>
      <c r="AE1" s="1077"/>
      <c r="AF1" s="1077"/>
      <c r="AG1" s="1077"/>
      <c r="AH1" s="1077"/>
      <c r="AI1" s="1077"/>
      <c r="AJ1" s="1077"/>
      <c r="AK1" s="1077"/>
      <c r="AL1" s="1077"/>
      <c r="AM1" s="1077"/>
      <c r="AN1" s="1077"/>
      <c r="AO1" s="1077"/>
      <c r="AP1" s="1077"/>
      <c r="AQ1" s="1077"/>
      <c r="AR1" s="1077"/>
      <c r="AS1" s="1077"/>
      <c r="AT1" s="1077"/>
      <c r="AU1" s="1077"/>
      <c r="AV1" s="1077"/>
      <c r="AW1" s="1077"/>
      <c r="AX1" s="1077"/>
      <c r="AY1" s="1077"/>
      <c r="AZ1" s="1077"/>
    </row>
    <row r="2" spans="1:53" s="363" customFormat="1" ht="14.25" thickBot="1">
      <c r="A2" s="1109" t="s">
        <v>368</v>
      </c>
      <c r="B2" s="1109"/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1109"/>
      <c r="Q2" s="1109"/>
      <c r="R2" s="1109"/>
      <c r="S2" s="1109"/>
      <c r="T2" s="1109"/>
      <c r="U2" s="1109"/>
      <c r="V2" s="1109"/>
      <c r="W2" s="1109"/>
      <c r="X2" s="1109"/>
      <c r="Y2" s="1109"/>
      <c r="Z2" s="1109"/>
      <c r="AA2" s="1109"/>
      <c r="AB2" s="1109"/>
      <c r="AC2" s="1109"/>
      <c r="AD2" s="1109"/>
      <c r="AE2" s="1109"/>
      <c r="AF2" s="1109"/>
      <c r="AG2" s="1109"/>
      <c r="AH2" s="1109"/>
      <c r="AI2" s="1109"/>
      <c r="AJ2" s="1109"/>
      <c r="AK2" s="1109"/>
      <c r="AL2" s="1109"/>
      <c r="AM2" s="1109"/>
      <c r="AN2" s="1109"/>
      <c r="AO2" s="1109"/>
      <c r="AP2" s="1109"/>
      <c r="AQ2" s="1109"/>
      <c r="AR2" s="1109"/>
      <c r="AS2" s="1109"/>
      <c r="AT2" s="1109"/>
      <c r="AU2" s="1109"/>
      <c r="AV2" s="1109"/>
      <c r="AW2" s="1109"/>
      <c r="AX2" s="1109"/>
      <c r="AY2" s="1109"/>
      <c r="AZ2" s="1109"/>
    </row>
    <row r="3" spans="1:53" ht="38.25" customHeight="1" thickBot="1">
      <c r="A3" s="1110" t="s">
        <v>0</v>
      </c>
      <c r="B3" s="1105" t="s">
        <v>150</v>
      </c>
      <c r="C3" s="1106"/>
      <c r="D3" s="1105" t="s">
        <v>151</v>
      </c>
      <c r="E3" s="1106"/>
      <c r="F3" s="1107" t="s">
        <v>152</v>
      </c>
      <c r="G3" s="1106"/>
      <c r="H3" s="1107" t="s">
        <v>153</v>
      </c>
      <c r="I3" s="1106"/>
      <c r="J3" s="1105" t="s">
        <v>154</v>
      </c>
      <c r="K3" s="1106"/>
      <c r="L3" s="1105" t="s">
        <v>155</v>
      </c>
      <c r="M3" s="1106"/>
      <c r="N3" s="1105" t="s">
        <v>255</v>
      </c>
      <c r="O3" s="1107"/>
      <c r="P3" s="1105" t="s">
        <v>156</v>
      </c>
      <c r="Q3" s="1106"/>
      <c r="R3" s="1105" t="s">
        <v>157</v>
      </c>
      <c r="S3" s="1106"/>
      <c r="T3" s="1105" t="s">
        <v>158</v>
      </c>
      <c r="U3" s="1106"/>
      <c r="V3" s="1105" t="s">
        <v>159</v>
      </c>
      <c r="W3" s="1106"/>
      <c r="X3" s="1105" t="s">
        <v>160</v>
      </c>
      <c r="Y3" s="1107"/>
      <c r="Z3" s="1105" t="s">
        <v>365</v>
      </c>
      <c r="AA3" s="1106"/>
      <c r="AB3" s="1105" t="s">
        <v>161</v>
      </c>
      <c r="AC3" s="1106"/>
      <c r="AD3" s="1108" t="s">
        <v>162</v>
      </c>
      <c r="AE3" s="1108"/>
      <c r="AF3" s="1105" t="s">
        <v>163</v>
      </c>
      <c r="AG3" s="1106"/>
      <c r="AH3" s="1105" t="s">
        <v>164</v>
      </c>
      <c r="AI3" s="1107"/>
      <c r="AJ3" s="1105" t="s">
        <v>165</v>
      </c>
      <c r="AK3" s="1107"/>
      <c r="AL3" s="1061" t="s">
        <v>166</v>
      </c>
      <c r="AM3" s="1062"/>
      <c r="AN3" s="1107" t="s">
        <v>167</v>
      </c>
      <c r="AO3" s="1107"/>
      <c r="AP3" s="1105" t="s">
        <v>168</v>
      </c>
      <c r="AQ3" s="1106"/>
      <c r="AR3" s="1105" t="s">
        <v>169</v>
      </c>
      <c r="AS3" s="1107"/>
      <c r="AT3" s="1105" t="s">
        <v>170</v>
      </c>
      <c r="AU3" s="1106"/>
      <c r="AV3" s="1105" t="s">
        <v>1</v>
      </c>
      <c r="AW3" s="1106"/>
      <c r="AX3" s="1108" t="s">
        <v>171</v>
      </c>
      <c r="AY3" s="1108"/>
      <c r="AZ3" s="1061" t="s">
        <v>2</v>
      </c>
      <c r="BA3" s="1062"/>
    </row>
    <row r="4" spans="1:53" s="363" customFormat="1" ht="14.25" thickBot="1">
      <c r="A4" s="1111"/>
      <c r="B4" s="345" t="s">
        <v>254</v>
      </c>
      <c r="C4" s="345" t="s">
        <v>358</v>
      </c>
      <c r="D4" s="345" t="s">
        <v>254</v>
      </c>
      <c r="E4" s="345" t="s">
        <v>358</v>
      </c>
      <c r="F4" s="345" t="s">
        <v>254</v>
      </c>
      <c r="G4" s="345" t="s">
        <v>358</v>
      </c>
      <c r="H4" s="345" t="s">
        <v>254</v>
      </c>
      <c r="I4" s="345" t="s">
        <v>358</v>
      </c>
      <c r="J4" s="345" t="s">
        <v>254</v>
      </c>
      <c r="K4" s="345" t="s">
        <v>358</v>
      </c>
      <c r="L4" s="345" t="s">
        <v>254</v>
      </c>
      <c r="M4" s="345" t="s">
        <v>358</v>
      </c>
      <c r="N4" s="345" t="s">
        <v>254</v>
      </c>
      <c r="O4" s="345" t="s">
        <v>358</v>
      </c>
      <c r="P4" s="345" t="s">
        <v>254</v>
      </c>
      <c r="Q4" s="345" t="s">
        <v>358</v>
      </c>
      <c r="R4" s="345" t="s">
        <v>254</v>
      </c>
      <c r="S4" s="345" t="s">
        <v>358</v>
      </c>
      <c r="T4" s="345" t="s">
        <v>254</v>
      </c>
      <c r="U4" s="345" t="s">
        <v>358</v>
      </c>
      <c r="V4" s="345" t="s">
        <v>254</v>
      </c>
      <c r="W4" s="345" t="s">
        <v>358</v>
      </c>
      <c r="X4" s="345" t="s">
        <v>254</v>
      </c>
      <c r="Y4" s="345" t="s">
        <v>358</v>
      </c>
      <c r="Z4" s="345" t="s">
        <v>254</v>
      </c>
      <c r="AA4" s="345" t="s">
        <v>358</v>
      </c>
      <c r="AB4" s="345" t="s">
        <v>254</v>
      </c>
      <c r="AC4" s="345" t="s">
        <v>358</v>
      </c>
      <c r="AD4" s="345" t="s">
        <v>254</v>
      </c>
      <c r="AE4" s="345" t="s">
        <v>358</v>
      </c>
      <c r="AF4" s="345" t="s">
        <v>254</v>
      </c>
      <c r="AG4" s="345" t="s">
        <v>358</v>
      </c>
      <c r="AH4" s="345" t="s">
        <v>254</v>
      </c>
      <c r="AI4" s="345" t="s">
        <v>358</v>
      </c>
      <c r="AJ4" s="345" t="s">
        <v>254</v>
      </c>
      <c r="AK4" s="345" t="s">
        <v>358</v>
      </c>
      <c r="AL4" s="345" t="s">
        <v>254</v>
      </c>
      <c r="AM4" s="345" t="s">
        <v>358</v>
      </c>
      <c r="AN4" s="345" t="s">
        <v>254</v>
      </c>
      <c r="AO4" s="345" t="s">
        <v>358</v>
      </c>
      <c r="AP4" s="345" t="s">
        <v>254</v>
      </c>
      <c r="AQ4" s="345" t="s">
        <v>358</v>
      </c>
      <c r="AR4" s="345" t="s">
        <v>254</v>
      </c>
      <c r="AS4" s="345" t="s">
        <v>358</v>
      </c>
      <c r="AT4" s="345" t="s">
        <v>254</v>
      </c>
      <c r="AU4" s="345" t="s">
        <v>358</v>
      </c>
      <c r="AV4" s="345" t="s">
        <v>254</v>
      </c>
      <c r="AW4" s="345" t="s">
        <v>358</v>
      </c>
      <c r="AX4" s="345" t="s">
        <v>254</v>
      </c>
      <c r="AY4" s="345" t="s">
        <v>358</v>
      </c>
      <c r="AZ4" s="345" t="s">
        <v>254</v>
      </c>
      <c r="BA4" s="345" t="s">
        <v>358</v>
      </c>
    </row>
    <row r="5" spans="1:53" s="132" customFormat="1" ht="14.25">
      <c r="A5" s="262" t="s">
        <v>59</v>
      </c>
      <c r="B5" s="144"/>
      <c r="C5" s="140"/>
      <c r="D5" s="144"/>
      <c r="E5" s="140"/>
      <c r="F5" s="141"/>
      <c r="G5" s="140"/>
      <c r="H5" s="141"/>
      <c r="I5" s="140"/>
      <c r="J5" s="144"/>
      <c r="K5" s="140"/>
      <c r="L5" s="142"/>
      <c r="M5" s="142"/>
      <c r="N5" s="142"/>
      <c r="O5" s="145"/>
      <c r="P5" s="144"/>
      <c r="Q5" s="140"/>
      <c r="R5" s="144"/>
      <c r="S5" s="140"/>
      <c r="T5" s="144"/>
      <c r="U5" s="140"/>
      <c r="V5" s="144"/>
      <c r="W5" s="140"/>
      <c r="X5" s="142"/>
      <c r="Y5" s="145"/>
      <c r="Z5" s="144"/>
      <c r="AA5" s="140"/>
      <c r="AB5" s="144"/>
      <c r="AC5" s="140"/>
      <c r="AD5" s="141"/>
      <c r="AE5" s="145"/>
      <c r="AF5" s="144"/>
      <c r="AG5" s="140"/>
      <c r="AH5" s="144"/>
      <c r="AI5" s="145"/>
      <c r="AJ5" s="144"/>
      <c r="AK5" s="145"/>
      <c r="AL5" s="144"/>
      <c r="AM5" s="140"/>
      <c r="AN5" s="141"/>
      <c r="AO5" s="145"/>
      <c r="AP5" s="144"/>
      <c r="AQ5" s="140"/>
      <c r="AR5" s="142"/>
      <c r="AS5" s="145"/>
      <c r="AT5" s="144"/>
      <c r="AU5" s="140"/>
      <c r="AV5" s="144"/>
      <c r="AW5" s="140"/>
      <c r="AX5" s="141"/>
      <c r="AY5" s="145"/>
      <c r="AZ5" s="144"/>
      <c r="BA5" s="147"/>
    </row>
    <row r="6" spans="1:53" s="132" customFormat="1" ht="14.25">
      <c r="A6" s="149" t="s">
        <v>60</v>
      </c>
      <c r="B6" s="265">
        <v>13379</v>
      </c>
      <c r="C6" s="85">
        <v>14666</v>
      </c>
      <c r="D6" s="76">
        <v>159</v>
      </c>
      <c r="E6" s="78">
        <v>112</v>
      </c>
      <c r="F6" s="103">
        <v>739</v>
      </c>
      <c r="G6" s="78">
        <v>895</v>
      </c>
      <c r="H6" s="103">
        <v>13611</v>
      </c>
      <c r="I6" s="78">
        <v>19392</v>
      </c>
      <c r="J6" s="76">
        <v>4252</v>
      </c>
      <c r="K6" s="78">
        <v>3792</v>
      </c>
      <c r="L6" s="77">
        <v>5790</v>
      </c>
      <c r="M6" s="77">
        <v>8063</v>
      </c>
      <c r="N6" s="77">
        <v>597</v>
      </c>
      <c r="O6" s="86">
        <v>634</v>
      </c>
      <c r="P6" s="76">
        <v>2729</v>
      </c>
      <c r="Q6" s="78">
        <v>2931</v>
      </c>
      <c r="R6" s="76">
        <v>5189</v>
      </c>
      <c r="S6" s="78">
        <v>4112</v>
      </c>
      <c r="T6" s="76">
        <v>934</v>
      </c>
      <c r="U6" s="78">
        <v>743</v>
      </c>
      <c r="V6" s="76">
        <v>49959</v>
      </c>
      <c r="W6" s="78">
        <v>58261</v>
      </c>
      <c r="X6" s="364">
        <v>33607</v>
      </c>
      <c r="Y6" s="86">
        <v>42310</v>
      </c>
      <c r="Z6" s="844">
        <v>1127</v>
      </c>
      <c r="AA6" s="90">
        <v>1983</v>
      </c>
      <c r="AB6" s="76">
        <v>3802.98</v>
      </c>
      <c r="AC6" s="78">
        <v>7165</v>
      </c>
      <c r="AD6" s="103">
        <v>8944</v>
      </c>
      <c r="AE6" s="86">
        <v>8308</v>
      </c>
      <c r="AF6" s="76">
        <v>30621</v>
      </c>
      <c r="AG6" s="78">
        <v>37004</v>
      </c>
      <c r="AH6" s="76">
        <v>6428</v>
      </c>
      <c r="AI6" s="86">
        <v>9228</v>
      </c>
      <c r="AJ6" s="76">
        <v>2724</v>
      </c>
      <c r="AK6" s="86">
        <v>2985</v>
      </c>
      <c r="AL6" s="76"/>
      <c r="AM6" s="78"/>
      <c r="AN6" s="866">
        <v>29742.29</v>
      </c>
      <c r="AO6" s="149">
        <v>40336</v>
      </c>
      <c r="AP6" s="365">
        <v>2920.15</v>
      </c>
      <c r="AQ6" s="595">
        <v>3698</v>
      </c>
      <c r="AR6" s="92">
        <v>3602</v>
      </c>
      <c r="AS6" s="854">
        <v>5120</v>
      </c>
      <c r="AT6" s="76">
        <v>29847</v>
      </c>
      <c r="AU6" s="78">
        <v>36370</v>
      </c>
      <c r="AV6" s="94">
        <f>SUM(B6+D6+F6+H6+J6+L6+N6+P6+R6+T6+V6+X6+Z6+AB6+AD6+AF6+AH6+AJ6+AL6+AN6+AP6+AR6+AT6)</f>
        <v>250703.42</v>
      </c>
      <c r="AW6" s="106">
        <f>SUM(C6+E6+G6+I6+K6+M6+O6+Q6+S6+U6+W6+Y6+AA6+AC6+AE6+AG6+AI6+AK6+AM6+AO6+AQ6+AS6+AU6)</f>
        <v>308108</v>
      </c>
      <c r="AX6" s="266"/>
      <c r="AY6" s="854"/>
      <c r="AZ6" s="94">
        <f t="shared" ref="AZ6:AZ25" si="0">AV6+AX6</f>
        <v>250703.42</v>
      </c>
      <c r="BA6" s="95">
        <f t="shared" ref="BA6:BA25" si="1">AW6+AY6</f>
        <v>308108</v>
      </c>
    </row>
    <row r="7" spans="1:53" s="132" customFormat="1" ht="14.25">
      <c r="A7" s="149" t="s">
        <v>61</v>
      </c>
      <c r="B7" s="265">
        <v>6029</v>
      </c>
      <c r="C7" s="85">
        <v>7934</v>
      </c>
      <c r="D7" s="76">
        <v>90</v>
      </c>
      <c r="E7" s="78">
        <v>77</v>
      </c>
      <c r="F7" s="103">
        <v>202</v>
      </c>
      <c r="G7" s="78">
        <v>367</v>
      </c>
      <c r="H7" s="103">
        <v>3956</v>
      </c>
      <c r="I7" s="78">
        <v>4745</v>
      </c>
      <c r="J7" s="76">
        <v>2245</v>
      </c>
      <c r="K7" s="78">
        <v>2316</v>
      </c>
      <c r="L7" s="77">
        <v>3369</v>
      </c>
      <c r="M7" s="77">
        <v>3596</v>
      </c>
      <c r="N7" s="77">
        <v>552</v>
      </c>
      <c r="O7" s="86">
        <v>480</v>
      </c>
      <c r="P7" s="76">
        <v>739</v>
      </c>
      <c r="Q7" s="78">
        <v>880</v>
      </c>
      <c r="R7" s="76">
        <v>2728</v>
      </c>
      <c r="S7" s="78">
        <v>2557</v>
      </c>
      <c r="T7" s="76">
        <v>356</v>
      </c>
      <c r="U7" s="78">
        <v>505</v>
      </c>
      <c r="V7" s="76">
        <v>11677</v>
      </c>
      <c r="W7" s="78">
        <v>13475</v>
      </c>
      <c r="X7" s="364">
        <v>17224</v>
      </c>
      <c r="Y7" s="86">
        <v>17557</v>
      </c>
      <c r="Z7" s="844">
        <v>861</v>
      </c>
      <c r="AA7" s="90">
        <v>822</v>
      </c>
      <c r="AB7" s="76">
        <v>1664.09</v>
      </c>
      <c r="AC7" s="78">
        <v>1783</v>
      </c>
      <c r="AD7" s="103">
        <v>5634</v>
      </c>
      <c r="AE7" s="86">
        <v>6962</v>
      </c>
      <c r="AF7" s="76">
        <v>12039</v>
      </c>
      <c r="AG7" s="78">
        <v>13522</v>
      </c>
      <c r="AH7" s="76">
        <v>4069</v>
      </c>
      <c r="AI7" s="86">
        <v>5349</v>
      </c>
      <c r="AJ7" s="76">
        <v>3212</v>
      </c>
      <c r="AK7" s="86">
        <v>2898</v>
      </c>
      <c r="AL7" s="76"/>
      <c r="AM7" s="78"/>
      <c r="AN7" s="866">
        <v>30062.2</v>
      </c>
      <c r="AO7" s="149">
        <v>32743</v>
      </c>
      <c r="AP7" s="365">
        <v>1194.71</v>
      </c>
      <c r="AQ7" s="595">
        <v>1466</v>
      </c>
      <c r="AR7" s="92">
        <v>3576</v>
      </c>
      <c r="AS7" s="854">
        <v>4414</v>
      </c>
      <c r="AT7" s="76">
        <v>7571</v>
      </c>
      <c r="AU7" s="78">
        <v>8308</v>
      </c>
      <c r="AV7" s="94">
        <f t="shared" ref="AV7:AV25" si="2">SUM(B7+D7+F7+H7+J7+L7+N7+P7+R7+T7+V7+X7+Z7+AB7+AD7+AF7+AH7+AJ7+AL7+AN7+AP7+AR7+AT7)</f>
        <v>119050</v>
      </c>
      <c r="AW7" s="106">
        <f t="shared" ref="AW7:AW25" si="3">SUM(C7+E7+G7+I7+K7+M7+O7+Q7+S7+U7+W7+Y7+AA7+AC7+AE7+AG7+AI7+AK7+AM7+AO7+AQ7+AS7+AU7)</f>
        <v>132756</v>
      </c>
      <c r="AX7" s="266"/>
      <c r="AY7" s="854"/>
      <c r="AZ7" s="94">
        <f t="shared" si="0"/>
        <v>119050</v>
      </c>
      <c r="BA7" s="95">
        <f t="shared" si="1"/>
        <v>132756</v>
      </c>
    </row>
    <row r="8" spans="1:53" s="132" customFormat="1" ht="14.25">
      <c r="A8" s="149" t="s">
        <v>62</v>
      </c>
      <c r="B8" s="265">
        <v>236</v>
      </c>
      <c r="C8" s="85">
        <v>534</v>
      </c>
      <c r="D8" s="76">
        <v>1</v>
      </c>
      <c r="E8" s="78"/>
      <c r="F8" s="103"/>
      <c r="G8" s="78">
        <v>15</v>
      </c>
      <c r="H8" s="103">
        <v>1619</v>
      </c>
      <c r="I8" s="78">
        <v>2980</v>
      </c>
      <c r="J8" s="76">
        <v>165</v>
      </c>
      <c r="K8" s="78">
        <v>72</v>
      </c>
      <c r="L8" s="77">
        <v>590</v>
      </c>
      <c r="M8" s="77">
        <v>738</v>
      </c>
      <c r="N8" s="77">
        <v>142</v>
      </c>
      <c r="O8" s="86">
        <v>287</v>
      </c>
      <c r="P8" s="76">
        <v>13</v>
      </c>
      <c r="Q8" s="78">
        <v>38</v>
      </c>
      <c r="R8" s="76">
        <v>12</v>
      </c>
      <c r="S8" s="78">
        <v>88</v>
      </c>
      <c r="T8" s="76">
        <v>53</v>
      </c>
      <c r="U8" s="78">
        <v>65</v>
      </c>
      <c r="V8" s="76">
        <v>3836</v>
      </c>
      <c r="W8" s="78">
        <v>7670</v>
      </c>
      <c r="X8" s="364">
        <v>2724</v>
      </c>
      <c r="Y8" s="86">
        <v>6019</v>
      </c>
      <c r="Z8" s="844">
        <v>297</v>
      </c>
      <c r="AA8" s="90">
        <v>428</v>
      </c>
      <c r="AB8" s="76">
        <v>331.54</v>
      </c>
      <c r="AC8" s="78">
        <v>703</v>
      </c>
      <c r="AD8" s="103">
        <v>1286</v>
      </c>
      <c r="AE8" s="86">
        <v>2286</v>
      </c>
      <c r="AF8" s="76">
        <v>760</v>
      </c>
      <c r="AG8" s="78">
        <v>1897</v>
      </c>
      <c r="AH8" s="76">
        <v>498</v>
      </c>
      <c r="AI8" s="86">
        <v>792</v>
      </c>
      <c r="AJ8" s="76">
        <v>12</v>
      </c>
      <c r="AK8" s="86">
        <v>15</v>
      </c>
      <c r="AL8" s="76"/>
      <c r="AM8" s="78"/>
      <c r="AN8" s="866">
        <v>4179.16</v>
      </c>
      <c r="AO8" s="149">
        <v>6084</v>
      </c>
      <c r="AP8" s="365">
        <v>38.18</v>
      </c>
      <c r="AQ8" s="595">
        <v>213</v>
      </c>
      <c r="AR8" s="92">
        <v>327</v>
      </c>
      <c r="AS8" s="854">
        <v>562</v>
      </c>
      <c r="AT8" s="76">
        <v>586</v>
      </c>
      <c r="AU8" s="78">
        <v>377</v>
      </c>
      <c r="AV8" s="94">
        <f t="shared" si="2"/>
        <v>17705.88</v>
      </c>
      <c r="AW8" s="106">
        <f t="shared" si="3"/>
        <v>31863</v>
      </c>
      <c r="AX8" s="266"/>
      <c r="AY8" s="854"/>
      <c r="AZ8" s="94">
        <f t="shared" si="0"/>
        <v>17705.88</v>
      </c>
      <c r="BA8" s="95">
        <f t="shared" si="1"/>
        <v>31863</v>
      </c>
    </row>
    <row r="9" spans="1:53" s="368" customFormat="1" ht="14.25">
      <c r="A9" s="150" t="s">
        <v>54</v>
      </c>
      <c r="B9" s="68">
        <f t="shared" ref="B9:G9" si="4">SUM(B6:B8)</f>
        <v>19644</v>
      </c>
      <c r="C9" s="370">
        <f t="shared" si="4"/>
        <v>23134</v>
      </c>
      <c r="D9" s="94">
        <f t="shared" si="4"/>
        <v>250</v>
      </c>
      <c r="E9" s="98">
        <f t="shared" si="4"/>
        <v>189</v>
      </c>
      <c r="F9" s="104">
        <f t="shared" si="4"/>
        <v>941</v>
      </c>
      <c r="G9" s="98">
        <f t="shared" si="4"/>
        <v>1277</v>
      </c>
      <c r="H9" s="104">
        <f t="shared" ref="H9:O9" si="5">SUM(H6:H8)</f>
        <v>19186</v>
      </c>
      <c r="I9" s="106">
        <f t="shared" si="5"/>
        <v>27117</v>
      </c>
      <c r="J9" s="94">
        <f t="shared" si="5"/>
        <v>6662</v>
      </c>
      <c r="K9" s="106">
        <f t="shared" si="5"/>
        <v>6180</v>
      </c>
      <c r="L9" s="104">
        <f t="shared" si="5"/>
        <v>9749</v>
      </c>
      <c r="M9" s="104">
        <f t="shared" si="5"/>
        <v>12397</v>
      </c>
      <c r="N9" s="104">
        <f t="shared" si="5"/>
        <v>1291</v>
      </c>
      <c r="O9" s="104">
        <f t="shared" si="5"/>
        <v>1401</v>
      </c>
      <c r="P9" s="94">
        <f>SUM(P6:P8)</f>
        <v>3481</v>
      </c>
      <c r="Q9" s="98">
        <f>SUM(Q6:Q8)</f>
        <v>3849</v>
      </c>
      <c r="R9" s="94">
        <f>SUM(R6:R8)</f>
        <v>7929</v>
      </c>
      <c r="S9" s="98">
        <f>SUM(S6:S8)</f>
        <v>6757</v>
      </c>
      <c r="T9" s="94">
        <f t="shared" ref="T9:AA9" si="6">SUM(T6:T8)</f>
        <v>1343</v>
      </c>
      <c r="U9" s="98">
        <f t="shared" si="6"/>
        <v>1313</v>
      </c>
      <c r="V9" s="94">
        <f t="shared" si="6"/>
        <v>65472</v>
      </c>
      <c r="W9" s="98">
        <f t="shared" si="6"/>
        <v>79406</v>
      </c>
      <c r="X9" s="104">
        <f t="shared" si="6"/>
        <v>53555</v>
      </c>
      <c r="Y9" s="105">
        <f t="shared" si="6"/>
        <v>65886</v>
      </c>
      <c r="Z9" s="94">
        <f t="shared" si="6"/>
        <v>2285</v>
      </c>
      <c r="AA9" s="94">
        <f t="shared" si="6"/>
        <v>3233</v>
      </c>
      <c r="AB9" s="94">
        <f t="shared" ref="AB9:AH9" si="7">SUM(AB6:AB8)</f>
        <v>5798.61</v>
      </c>
      <c r="AC9" s="98">
        <f t="shared" si="7"/>
        <v>9651</v>
      </c>
      <c r="AD9" s="104">
        <f t="shared" si="7"/>
        <v>15864</v>
      </c>
      <c r="AE9" s="99">
        <f t="shared" si="7"/>
        <v>17556</v>
      </c>
      <c r="AF9" s="94">
        <f t="shared" si="7"/>
        <v>43420</v>
      </c>
      <c r="AG9" s="106">
        <f t="shared" si="7"/>
        <v>52423</v>
      </c>
      <c r="AH9" s="94">
        <f t="shared" si="7"/>
        <v>10995</v>
      </c>
      <c r="AI9" s="99">
        <f>SUM(AI6:AI8)</f>
        <v>15369</v>
      </c>
      <c r="AJ9" s="94">
        <f>SUM(AJ6:AJ8)</f>
        <v>5948</v>
      </c>
      <c r="AK9" s="105">
        <f>SUM(AK6:AK8)</f>
        <v>5898</v>
      </c>
      <c r="AL9" s="94">
        <f>SUM(AL6:AL8)</f>
        <v>0</v>
      </c>
      <c r="AM9" s="98"/>
      <c r="AN9" s="104">
        <f t="shared" ref="AN9:AU9" si="8">SUM(AN6:AN8)</f>
        <v>63983.650000000009</v>
      </c>
      <c r="AO9" s="105">
        <f t="shared" si="8"/>
        <v>79163</v>
      </c>
      <c r="AP9" s="94">
        <f t="shared" si="8"/>
        <v>4153.0400000000009</v>
      </c>
      <c r="AQ9" s="106">
        <f t="shared" si="8"/>
        <v>5377</v>
      </c>
      <c r="AR9" s="154">
        <f t="shared" si="8"/>
        <v>7505</v>
      </c>
      <c r="AS9" s="871">
        <f t="shared" si="8"/>
        <v>10096</v>
      </c>
      <c r="AT9" s="367">
        <f t="shared" si="8"/>
        <v>38004</v>
      </c>
      <c r="AU9" s="861">
        <f t="shared" si="8"/>
        <v>45055</v>
      </c>
      <c r="AV9" s="94">
        <f t="shared" si="2"/>
        <v>387459.3</v>
      </c>
      <c r="AW9" s="106">
        <f t="shared" si="3"/>
        <v>472727</v>
      </c>
      <c r="AX9" s="863">
        <f>SUM(AX6:AX8)</f>
        <v>0</v>
      </c>
      <c r="AY9" s="869">
        <f>SUM(AY6:AY8)</f>
        <v>0</v>
      </c>
      <c r="AZ9" s="94">
        <f t="shared" si="0"/>
        <v>387459.3</v>
      </c>
      <c r="BA9" s="95">
        <f t="shared" si="1"/>
        <v>472727</v>
      </c>
    </row>
    <row r="10" spans="1:53" s="132" customFormat="1" ht="14.25">
      <c r="A10" s="149" t="s">
        <v>63</v>
      </c>
      <c r="B10" s="68"/>
      <c r="C10" s="85"/>
      <c r="D10" s="94"/>
      <c r="E10" s="78"/>
      <c r="F10" s="104"/>
      <c r="G10" s="78"/>
      <c r="H10" s="104"/>
      <c r="I10" s="78"/>
      <c r="J10" s="94"/>
      <c r="K10" s="78"/>
      <c r="L10" s="97"/>
      <c r="M10" s="77"/>
      <c r="N10" s="97"/>
      <c r="O10" s="86"/>
      <c r="P10" s="94"/>
      <c r="Q10" s="78"/>
      <c r="R10" s="94"/>
      <c r="S10" s="78"/>
      <c r="T10" s="94"/>
      <c r="U10" s="78"/>
      <c r="V10" s="94"/>
      <c r="W10" s="78"/>
      <c r="X10" s="97"/>
      <c r="Y10" s="86"/>
      <c r="Z10" s="844"/>
      <c r="AA10" s="90"/>
      <c r="AB10" s="94"/>
      <c r="AC10" s="78"/>
      <c r="AD10" s="369"/>
      <c r="AE10" s="86"/>
      <c r="AF10" s="94"/>
      <c r="AG10" s="78"/>
      <c r="AH10" s="94"/>
      <c r="AI10" s="86"/>
      <c r="AJ10" s="94"/>
      <c r="AK10" s="86"/>
      <c r="AL10" s="76"/>
      <c r="AM10" s="78"/>
      <c r="AN10" s="103"/>
      <c r="AO10" s="149"/>
      <c r="AP10" s="365"/>
      <c r="AQ10" s="595"/>
      <c r="AR10" s="92"/>
      <c r="AS10" s="854"/>
      <c r="AT10" s="94"/>
      <c r="AU10" s="78"/>
      <c r="AV10" s="94">
        <f t="shared" si="2"/>
        <v>0</v>
      </c>
      <c r="AW10" s="106">
        <f t="shared" si="3"/>
        <v>0</v>
      </c>
      <c r="AX10" s="104"/>
      <c r="AY10" s="854"/>
      <c r="AZ10" s="94">
        <f t="shared" si="0"/>
        <v>0</v>
      </c>
      <c r="BA10" s="95">
        <f t="shared" si="1"/>
        <v>0</v>
      </c>
    </row>
    <row r="11" spans="1:53" s="132" customFormat="1" ht="14.25">
      <c r="A11" s="149" t="s">
        <v>64</v>
      </c>
      <c r="B11" s="265"/>
      <c r="C11" s="85"/>
      <c r="D11" s="76"/>
      <c r="E11" s="78"/>
      <c r="F11" s="103"/>
      <c r="G11" s="78"/>
      <c r="H11" s="103"/>
      <c r="I11" s="78">
        <v>-5</v>
      </c>
      <c r="J11" s="76"/>
      <c r="K11" s="78"/>
      <c r="L11" s="77"/>
      <c r="M11" s="77"/>
      <c r="N11" s="77"/>
      <c r="O11" s="86"/>
      <c r="P11" s="76"/>
      <c r="Q11" s="78"/>
      <c r="R11" s="76"/>
      <c r="S11" s="78"/>
      <c r="T11" s="76"/>
      <c r="U11" s="78"/>
      <c r="V11" s="76"/>
      <c r="W11" s="78"/>
      <c r="X11" s="77"/>
      <c r="Y11" s="86"/>
      <c r="Z11" s="76"/>
      <c r="AA11" s="90"/>
      <c r="AB11" s="76"/>
      <c r="AC11" s="78"/>
      <c r="AD11" s="103"/>
      <c r="AE11" s="86"/>
      <c r="AF11" s="76"/>
      <c r="AG11" s="78"/>
      <c r="AH11" s="76"/>
      <c r="AI11" s="86"/>
      <c r="AJ11" s="76"/>
      <c r="AK11" s="86"/>
      <c r="AL11" s="76"/>
      <c r="AM11" s="78"/>
      <c r="AN11" s="103"/>
      <c r="AO11" s="149"/>
      <c r="AP11" s="365"/>
      <c r="AQ11" s="595"/>
      <c r="AR11" s="92"/>
      <c r="AS11" s="854"/>
      <c r="AT11" s="76">
        <v>14</v>
      </c>
      <c r="AU11" s="78">
        <v>14</v>
      </c>
      <c r="AV11" s="94">
        <f t="shared" si="2"/>
        <v>14</v>
      </c>
      <c r="AW11" s="106">
        <f t="shared" si="3"/>
        <v>9</v>
      </c>
      <c r="AX11" s="266"/>
      <c r="AY11" s="854"/>
      <c r="AZ11" s="94">
        <f t="shared" si="0"/>
        <v>14</v>
      </c>
      <c r="BA11" s="95">
        <f t="shared" si="1"/>
        <v>9</v>
      </c>
    </row>
    <row r="12" spans="1:53" s="368" customFormat="1" ht="14.25">
      <c r="A12" s="150" t="s">
        <v>65</v>
      </c>
      <c r="B12" s="68">
        <f t="shared" ref="B12:G12" si="9">B9</f>
        <v>19644</v>
      </c>
      <c r="C12" s="370">
        <f t="shared" si="9"/>
        <v>23134</v>
      </c>
      <c r="D12" s="68">
        <f t="shared" si="9"/>
        <v>250</v>
      </c>
      <c r="E12" s="98">
        <f t="shared" si="9"/>
        <v>189</v>
      </c>
      <c r="F12" s="96">
        <f t="shared" si="9"/>
        <v>941</v>
      </c>
      <c r="G12" s="98">
        <f t="shared" si="9"/>
        <v>1277</v>
      </c>
      <c r="H12" s="96">
        <f>H9+H11</f>
        <v>19186</v>
      </c>
      <c r="I12" s="98">
        <f>I9+I11</f>
        <v>27112</v>
      </c>
      <c r="J12" s="68">
        <f>J9</f>
        <v>6662</v>
      </c>
      <c r="K12" s="370">
        <f>K9</f>
        <v>6180</v>
      </c>
      <c r="L12" s="68">
        <f>L9</f>
        <v>9749</v>
      </c>
      <c r="M12" s="97"/>
      <c r="N12" s="68">
        <f>N9</f>
        <v>1291</v>
      </c>
      <c r="O12" s="68">
        <f>O9</f>
        <v>1401</v>
      </c>
      <c r="P12" s="68">
        <f t="shared" ref="P12:W12" si="10">P9</f>
        <v>3481</v>
      </c>
      <c r="Q12" s="98">
        <f t="shared" si="10"/>
        <v>3849</v>
      </c>
      <c r="R12" s="68">
        <f t="shared" si="10"/>
        <v>7929</v>
      </c>
      <c r="S12" s="98">
        <f t="shared" si="10"/>
        <v>6757</v>
      </c>
      <c r="T12" s="68">
        <f t="shared" si="10"/>
        <v>1343</v>
      </c>
      <c r="U12" s="98">
        <f t="shared" si="10"/>
        <v>1313</v>
      </c>
      <c r="V12" s="68">
        <f t="shared" si="10"/>
        <v>65472</v>
      </c>
      <c r="W12" s="68">
        <f t="shared" si="10"/>
        <v>79406</v>
      </c>
      <c r="X12" s="68">
        <f t="shared" ref="X12:AE12" si="11">X9</f>
        <v>53555</v>
      </c>
      <c r="Y12" s="68">
        <f t="shared" si="11"/>
        <v>65886</v>
      </c>
      <c r="Z12" s="68">
        <f t="shared" si="11"/>
        <v>2285</v>
      </c>
      <c r="AA12" s="68">
        <f t="shared" si="11"/>
        <v>3233</v>
      </c>
      <c r="AB12" s="68">
        <f t="shared" si="11"/>
        <v>5798.61</v>
      </c>
      <c r="AC12" s="68">
        <f t="shared" si="11"/>
        <v>9651</v>
      </c>
      <c r="AD12" s="96">
        <f t="shared" si="11"/>
        <v>15864</v>
      </c>
      <c r="AE12" s="96">
        <f t="shared" si="11"/>
        <v>17556</v>
      </c>
      <c r="AF12" s="94">
        <f t="shared" ref="AF12:AK12" si="12">AF9</f>
        <v>43420</v>
      </c>
      <c r="AG12" s="95">
        <f t="shared" si="12"/>
        <v>52423</v>
      </c>
      <c r="AH12" s="94">
        <f t="shared" si="12"/>
        <v>10995</v>
      </c>
      <c r="AI12" s="99">
        <f t="shared" si="12"/>
        <v>15369</v>
      </c>
      <c r="AJ12" s="94">
        <f t="shared" si="12"/>
        <v>5948</v>
      </c>
      <c r="AK12" s="865">
        <f t="shared" si="12"/>
        <v>5898</v>
      </c>
      <c r="AL12" s="94"/>
      <c r="AM12" s="98"/>
      <c r="AN12" s="867">
        <f>AN9</f>
        <v>63983.650000000009</v>
      </c>
      <c r="AO12" s="150">
        <f>AO9</f>
        <v>79163</v>
      </c>
      <c r="AP12" s="367">
        <f>AP9</f>
        <v>4153.0400000000009</v>
      </c>
      <c r="AQ12" s="861">
        <f>AQ9</f>
        <v>5377</v>
      </c>
      <c r="AR12" s="367">
        <f>AR9</f>
        <v>7505</v>
      </c>
      <c r="AS12" s="871">
        <v>10096</v>
      </c>
      <c r="AT12" s="367">
        <v>37991</v>
      </c>
      <c r="AU12" s="872">
        <f>AU9-AU11</f>
        <v>45041</v>
      </c>
      <c r="AV12" s="94">
        <f t="shared" si="2"/>
        <v>387446.3</v>
      </c>
      <c r="AW12" s="106">
        <f t="shared" si="3"/>
        <v>460311</v>
      </c>
      <c r="AX12" s="863">
        <f>AX9</f>
        <v>0</v>
      </c>
      <c r="AY12" s="869">
        <f>AY9</f>
        <v>0</v>
      </c>
      <c r="AZ12" s="94">
        <f t="shared" si="0"/>
        <v>387446.3</v>
      </c>
      <c r="BA12" s="95">
        <f t="shared" si="1"/>
        <v>460311</v>
      </c>
    </row>
    <row r="13" spans="1:53" s="368" customFormat="1" ht="14.25">
      <c r="A13" s="150" t="s">
        <v>256</v>
      </c>
      <c r="B13" s="68">
        <v>1298</v>
      </c>
      <c r="C13" s="873">
        <v>1193</v>
      </c>
      <c r="D13" s="873"/>
      <c r="E13" s="98"/>
      <c r="F13" s="96">
        <v>62</v>
      </c>
      <c r="G13" s="98">
        <v>47</v>
      </c>
      <c r="H13" s="96">
        <v>1501</v>
      </c>
      <c r="I13" s="98">
        <v>1725</v>
      </c>
      <c r="J13" s="68">
        <v>868</v>
      </c>
      <c r="K13" s="873">
        <v>828</v>
      </c>
      <c r="L13" s="96"/>
      <c r="M13" s="97"/>
      <c r="N13" s="96">
        <v>6</v>
      </c>
      <c r="O13" s="99">
        <v>26</v>
      </c>
      <c r="P13" s="68">
        <v>290</v>
      </c>
      <c r="Q13" s="98">
        <v>221</v>
      </c>
      <c r="R13" s="68">
        <v>725</v>
      </c>
      <c r="S13" s="98">
        <v>807</v>
      </c>
      <c r="T13" s="68">
        <v>20</v>
      </c>
      <c r="U13" s="98">
        <v>4</v>
      </c>
      <c r="V13" s="68">
        <v>995</v>
      </c>
      <c r="W13" s="98">
        <v>1809</v>
      </c>
      <c r="X13" s="96">
        <v>2104</v>
      </c>
      <c r="Y13" s="99">
        <v>3677</v>
      </c>
      <c r="Z13" s="68">
        <v>4</v>
      </c>
      <c r="AA13" s="859">
        <v>30</v>
      </c>
      <c r="AB13" s="68">
        <v>0.8</v>
      </c>
      <c r="AC13" s="98"/>
      <c r="AD13" s="96">
        <v>504</v>
      </c>
      <c r="AE13" s="99">
        <v>593</v>
      </c>
      <c r="AF13" s="94">
        <v>1582</v>
      </c>
      <c r="AG13" s="106">
        <v>1452</v>
      </c>
      <c r="AH13" s="94">
        <v>214</v>
      </c>
      <c r="AI13" s="99">
        <v>278</v>
      </c>
      <c r="AJ13" s="94">
        <v>246</v>
      </c>
      <c r="AK13" s="105">
        <v>395</v>
      </c>
      <c r="AL13" s="94"/>
      <c r="AM13" s="98"/>
      <c r="AN13" s="867">
        <v>1687.75</v>
      </c>
      <c r="AO13" s="150">
        <v>2865</v>
      </c>
      <c r="AP13" s="367">
        <v>153.68</v>
      </c>
      <c r="AQ13" s="861">
        <v>160</v>
      </c>
      <c r="AR13" s="867"/>
      <c r="AS13" s="871"/>
      <c r="AT13" s="367">
        <v>3068</v>
      </c>
      <c r="AU13" s="874">
        <v>2861</v>
      </c>
      <c r="AV13" s="94"/>
      <c r="AW13" s="106"/>
      <c r="AX13" s="863"/>
      <c r="AY13" s="875"/>
      <c r="AZ13" s="94"/>
      <c r="BA13" s="95"/>
    </row>
    <row r="14" spans="1:53" s="368" customFormat="1" ht="14.25">
      <c r="A14" s="150" t="s">
        <v>257</v>
      </c>
      <c r="B14" s="68">
        <f>B12+B13</f>
        <v>20942</v>
      </c>
      <c r="C14" s="68">
        <f>C12+C13</f>
        <v>24327</v>
      </c>
      <c r="D14" s="68">
        <f>D12+D13</f>
        <v>250</v>
      </c>
      <c r="E14" s="68">
        <f>E12+E13</f>
        <v>189</v>
      </c>
      <c r="F14" s="68">
        <f>F12+F13</f>
        <v>1003</v>
      </c>
      <c r="G14" s="68">
        <f t="shared" ref="G14:AU14" si="13">G12+G13</f>
        <v>1324</v>
      </c>
      <c r="H14" s="68">
        <f t="shared" si="13"/>
        <v>20687</v>
      </c>
      <c r="I14" s="68">
        <f t="shared" si="13"/>
        <v>28837</v>
      </c>
      <c r="J14" s="68">
        <f t="shared" si="13"/>
        <v>7530</v>
      </c>
      <c r="K14" s="68">
        <f t="shared" si="13"/>
        <v>7008</v>
      </c>
      <c r="L14" s="68">
        <f t="shared" si="13"/>
        <v>9749</v>
      </c>
      <c r="M14" s="68">
        <f t="shared" si="13"/>
        <v>0</v>
      </c>
      <c r="N14" s="68">
        <f t="shared" si="13"/>
        <v>1297</v>
      </c>
      <c r="O14" s="68">
        <f t="shared" si="13"/>
        <v>1427</v>
      </c>
      <c r="P14" s="68">
        <f t="shared" si="13"/>
        <v>3771</v>
      </c>
      <c r="Q14" s="68">
        <f t="shared" si="13"/>
        <v>4070</v>
      </c>
      <c r="R14" s="68">
        <f t="shared" si="13"/>
        <v>8654</v>
      </c>
      <c r="S14" s="68">
        <f t="shared" si="13"/>
        <v>7564</v>
      </c>
      <c r="T14" s="68">
        <f t="shared" si="13"/>
        <v>1363</v>
      </c>
      <c r="U14" s="68">
        <f t="shared" si="13"/>
        <v>1317</v>
      </c>
      <c r="V14" s="68">
        <f t="shared" si="13"/>
        <v>66467</v>
      </c>
      <c r="W14" s="68">
        <f t="shared" si="13"/>
        <v>81215</v>
      </c>
      <c r="X14" s="68">
        <f t="shared" si="13"/>
        <v>55659</v>
      </c>
      <c r="Y14" s="68">
        <f t="shared" si="13"/>
        <v>69563</v>
      </c>
      <c r="Z14" s="68">
        <f t="shared" si="13"/>
        <v>2289</v>
      </c>
      <c r="AA14" s="68">
        <f t="shared" si="13"/>
        <v>3263</v>
      </c>
      <c r="AB14" s="68">
        <f t="shared" si="13"/>
        <v>5799.41</v>
      </c>
      <c r="AC14" s="68">
        <f t="shared" si="13"/>
        <v>9651</v>
      </c>
      <c r="AD14" s="68">
        <f t="shared" si="13"/>
        <v>16368</v>
      </c>
      <c r="AE14" s="68">
        <f t="shared" si="13"/>
        <v>18149</v>
      </c>
      <c r="AF14" s="68">
        <f t="shared" si="13"/>
        <v>45002</v>
      </c>
      <c r="AG14" s="68">
        <f t="shared" si="13"/>
        <v>53875</v>
      </c>
      <c r="AH14" s="68">
        <f t="shared" si="13"/>
        <v>11209</v>
      </c>
      <c r="AI14" s="68">
        <f t="shared" si="13"/>
        <v>15647</v>
      </c>
      <c r="AJ14" s="68">
        <f t="shared" si="13"/>
        <v>6194</v>
      </c>
      <c r="AK14" s="68">
        <f t="shared" si="13"/>
        <v>6293</v>
      </c>
      <c r="AL14" s="68">
        <f t="shared" si="13"/>
        <v>0</v>
      </c>
      <c r="AM14" s="68">
        <f t="shared" si="13"/>
        <v>0</v>
      </c>
      <c r="AN14" s="68">
        <f t="shared" si="13"/>
        <v>65671.400000000009</v>
      </c>
      <c r="AO14" s="68">
        <f t="shared" si="13"/>
        <v>82028</v>
      </c>
      <c r="AP14" s="68">
        <f t="shared" si="13"/>
        <v>4306.7200000000012</v>
      </c>
      <c r="AQ14" s="68">
        <f t="shared" si="13"/>
        <v>5537</v>
      </c>
      <c r="AR14" s="68">
        <f t="shared" si="13"/>
        <v>7505</v>
      </c>
      <c r="AS14" s="68">
        <f t="shared" si="13"/>
        <v>10096</v>
      </c>
      <c r="AT14" s="68">
        <f t="shared" si="13"/>
        <v>41059</v>
      </c>
      <c r="AU14" s="68">
        <f t="shared" si="13"/>
        <v>47902</v>
      </c>
      <c r="AV14" s="94"/>
      <c r="AW14" s="106"/>
      <c r="AX14" s="863"/>
      <c r="AY14" s="875"/>
      <c r="AZ14" s="94"/>
      <c r="BA14" s="95"/>
    </row>
    <row r="15" spans="1:53" s="132" customFormat="1" ht="14.25">
      <c r="A15" s="150" t="s">
        <v>66</v>
      </c>
      <c r="B15" s="265"/>
      <c r="C15" s="85"/>
      <c r="D15" s="76"/>
      <c r="E15" s="78"/>
      <c r="F15" s="103"/>
      <c r="G15" s="78"/>
      <c r="H15" s="103"/>
      <c r="I15" s="78"/>
      <c r="J15" s="76"/>
      <c r="K15" s="78"/>
      <c r="L15" s="77"/>
      <c r="M15" s="77"/>
      <c r="N15" s="77"/>
      <c r="O15" s="86"/>
      <c r="P15" s="76"/>
      <c r="Q15" s="78"/>
      <c r="R15" s="76"/>
      <c r="S15" s="78"/>
      <c r="T15" s="76"/>
      <c r="U15" s="78"/>
      <c r="V15" s="76"/>
      <c r="W15" s="78"/>
      <c r="X15" s="77"/>
      <c r="Y15" s="86"/>
      <c r="Z15" s="76"/>
      <c r="AA15" s="90"/>
      <c r="AB15" s="76"/>
      <c r="AC15" s="78"/>
      <c r="AD15" s="103"/>
      <c r="AE15" s="86"/>
      <c r="AF15" s="76"/>
      <c r="AG15" s="78"/>
      <c r="AH15" s="76"/>
      <c r="AI15" s="86"/>
      <c r="AJ15" s="76"/>
      <c r="AK15" s="86"/>
      <c r="AL15" s="76"/>
      <c r="AM15" s="78"/>
      <c r="AN15" s="103"/>
      <c r="AO15" s="149"/>
      <c r="AP15" s="365"/>
      <c r="AQ15" s="595"/>
      <c r="AR15" s="92"/>
      <c r="AS15" s="854"/>
      <c r="AT15" s="76"/>
      <c r="AU15" s="78"/>
      <c r="AV15" s="94">
        <f t="shared" si="2"/>
        <v>0</v>
      </c>
      <c r="AW15" s="106">
        <f t="shared" si="3"/>
        <v>0</v>
      </c>
      <c r="AX15" s="266"/>
      <c r="AY15" s="854"/>
      <c r="AZ15" s="94">
        <f t="shared" si="0"/>
        <v>0</v>
      </c>
      <c r="BA15" s="95">
        <f t="shared" si="1"/>
        <v>0</v>
      </c>
    </row>
    <row r="16" spans="1:53" s="132" customFormat="1" ht="14.25">
      <c r="A16" s="150" t="s">
        <v>67</v>
      </c>
      <c r="B16" s="265"/>
      <c r="C16" s="85"/>
      <c r="D16" s="76"/>
      <c r="E16" s="78"/>
      <c r="F16" s="103"/>
      <c r="G16" s="78"/>
      <c r="H16" s="103"/>
      <c r="I16" s="78"/>
      <c r="J16" s="76"/>
      <c r="K16" s="78"/>
      <c r="L16" s="77"/>
      <c r="M16" s="77"/>
      <c r="N16" s="77"/>
      <c r="O16" s="86"/>
      <c r="P16" s="76"/>
      <c r="Q16" s="78"/>
      <c r="R16" s="76"/>
      <c r="S16" s="78"/>
      <c r="T16" s="76"/>
      <c r="U16" s="78"/>
      <c r="V16" s="76"/>
      <c r="W16" s="78"/>
      <c r="X16" s="77"/>
      <c r="Y16" s="86"/>
      <c r="Z16" s="76"/>
      <c r="AA16" s="90"/>
      <c r="AB16" s="76"/>
      <c r="AC16" s="78"/>
      <c r="AD16" s="103"/>
      <c r="AE16" s="86"/>
      <c r="AF16" s="76"/>
      <c r="AG16" s="78"/>
      <c r="AH16" s="76"/>
      <c r="AI16" s="86"/>
      <c r="AJ16" s="76"/>
      <c r="AK16" s="86"/>
      <c r="AL16" s="76"/>
      <c r="AM16" s="78"/>
      <c r="AN16" s="103"/>
      <c r="AO16" s="149"/>
      <c r="AP16" s="365"/>
      <c r="AQ16" s="595"/>
      <c r="AR16" s="92"/>
      <c r="AS16" s="854"/>
      <c r="AT16" s="76"/>
      <c r="AU16" s="78"/>
      <c r="AV16" s="94">
        <f t="shared" si="2"/>
        <v>0</v>
      </c>
      <c r="AW16" s="106">
        <f t="shared" si="3"/>
        <v>0</v>
      </c>
      <c r="AX16" s="266"/>
      <c r="AY16" s="854"/>
      <c r="AZ16" s="94">
        <f t="shared" si="0"/>
        <v>0</v>
      </c>
      <c r="BA16" s="95">
        <f t="shared" si="1"/>
        <v>0</v>
      </c>
    </row>
    <row r="17" spans="1:53" s="132" customFormat="1" ht="14.25">
      <c r="A17" s="149" t="s">
        <v>68</v>
      </c>
      <c r="B17" s="68">
        <v>8522</v>
      </c>
      <c r="C17" s="85">
        <v>8502</v>
      </c>
      <c r="D17" s="94">
        <v>11</v>
      </c>
      <c r="E17" s="78">
        <v>5</v>
      </c>
      <c r="F17" s="104">
        <v>471</v>
      </c>
      <c r="G17" s="104">
        <v>422</v>
      </c>
      <c r="H17" s="104">
        <v>11419</v>
      </c>
      <c r="I17" s="78">
        <v>13658</v>
      </c>
      <c r="J17" s="94">
        <v>3177</v>
      </c>
      <c r="K17" s="78">
        <v>2237</v>
      </c>
      <c r="L17" s="97">
        <v>26</v>
      </c>
      <c r="M17" s="77">
        <v>61</v>
      </c>
      <c r="N17" s="97">
        <v>917</v>
      </c>
      <c r="O17" s="86">
        <v>823</v>
      </c>
      <c r="P17" s="94">
        <v>2473</v>
      </c>
      <c r="Q17" s="78">
        <v>2447</v>
      </c>
      <c r="R17" s="94">
        <v>5804</v>
      </c>
      <c r="S17" s="78">
        <v>4148</v>
      </c>
      <c r="T17" s="94">
        <v>332</v>
      </c>
      <c r="U17" s="78">
        <v>279</v>
      </c>
      <c r="V17" s="94">
        <v>12123</v>
      </c>
      <c r="W17" s="78">
        <v>15043</v>
      </c>
      <c r="X17" s="97">
        <v>17658</v>
      </c>
      <c r="Y17" s="86">
        <v>22465</v>
      </c>
      <c r="Z17" s="844">
        <v>193</v>
      </c>
      <c r="AA17" s="90">
        <v>268</v>
      </c>
      <c r="AB17" s="94">
        <v>229.08</v>
      </c>
      <c r="AC17" s="78">
        <v>605</v>
      </c>
      <c r="AD17" s="369">
        <v>7488</v>
      </c>
      <c r="AE17" s="86">
        <v>6960</v>
      </c>
      <c r="AF17" s="94">
        <v>10317</v>
      </c>
      <c r="AG17" s="78">
        <v>11797</v>
      </c>
      <c r="AH17" s="94">
        <v>1250</v>
      </c>
      <c r="AI17" s="86">
        <v>1310</v>
      </c>
      <c r="AJ17" s="94">
        <v>4794</v>
      </c>
      <c r="AK17" s="86">
        <v>4822</v>
      </c>
      <c r="AL17" s="76"/>
      <c r="AM17" s="78"/>
      <c r="AN17" s="866">
        <v>23898</v>
      </c>
      <c r="AO17" s="149">
        <v>29647</v>
      </c>
      <c r="AP17" s="365">
        <v>600</v>
      </c>
      <c r="AQ17" s="595">
        <v>721</v>
      </c>
      <c r="AR17" s="92">
        <v>11</v>
      </c>
      <c r="AS17" s="854">
        <v>8</v>
      </c>
      <c r="AT17" s="94">
        <v>14862</v>
      </c>
      <c r="AU17" s="78">
        <v>16592</v>
      </c>
      <c r="AV17" s="94">
        <f t="shared" si="2"/>
        <v>126575.08</v>
      </c>
      <c r="AW17" s="106">
        <f t="shared" si="3"/>
        <v>142820</v>
      </c>
      <c r="AX17" s="104"/>
      <c r="AY17" s="854"/>
      <c r="AZ17" s="94">
        <f t="shared" si="0"/>
        <v>126575.08</v>
      </c>
      <c r="BA17" s="95">
        <f t="shared" si="1"/>
        <v>142820</v>
      </c>
    </row>
    <row r="18" spans="1:53" s="132" customFormat="1" ht="14.25">
      <c r="A18" s="149" t="s">
        <v>6</v>
      </c>
      <c r="B18" s="265">
        <v>840</v>
      </c>
      <c r="C18" s="85">
        <v>1127</v>
      </c>
      <c r="D18" s="76">
        <v>114</v>
      </c>
      <c r="E18" s="78">
        <v>73</v>
      </c>
      <c r="F18" s="103">
        <v>76</v>
      </c>
      <c r="G18" s="103">
        <v>225</v>
      </c>
      <c r="H18" s="103">
        <v>816</v>
      </c>
      <c r="I18" s="78">
        <v>1214</v>
      </c>
      <c r="J18" s="76">
        <v>2774</v>
      </c>
      <c r="K18" s="78">
        <v>2769</v>
      </c>
      <c r="L18" s="77">
        <v>68</v>
      </c>
      <c r="M18" s="77">
        <v>54</v>
      </c>
      <c r="N18" s="77">
        <v>43</v>
      </c>
      <c r="O18" s="86">
        <v>87</v>
      </c>
      <c r="P18" s="76">
        <v>448</v>
      </c>
      <c r="Q18" s="78">
        <v>371</v>
      </c>
      <c r="R18" s="76">
        <v>2071</v>
      </c>
      <c r="S18" s="78">
        <v>2664</v>
      </c>
      <c r="T18" s="76">
        <v>175</v>
      </c>
      <c r="U18" s="78">
        <v>214</v>
      </c>
      <c r="V18" s="76">
        <v>5323</v>
      </c>
      <c r="W18" s="78">
        <v>7573</v>
      </c>
      <c r="X18" s="77">
        <v>4488</v>
      </c>
      <c r="Y18" s="86">
        <v>5823</v>
      </c>
      <c r="Z18" s="844">
        <v>13</v>
      </c>
      <c r="AA18" s="90">
        <v>36</v>
      </c>
      <c r="AB18" s="76">
        <v>107.92</v>
      </c>
      <c r="AC18" s="78">
        <v>356</v>
      </c>
      <c r="AD18" s="103">
        <v>1194</v>
      </c>
      <c r="AE18" s="86">
        <v>1158</v>
      </c>
      <c r="AF18" s="76">
        <v>437</v>
      </c>
      <c r="AG18" s="78">
        <v>759</v>
      </c>
      <c r="AH18" s="76">
        <v>699</v>
      </c>
      <c r="AI18" s="86">
        <v>893</v>
      </c>
      <c r="AJ18" s="76">
        <v>728</v>
      </c>
      <c r="AK18" s="86">
        <v>591</v>
      </c>
      <c r="AL18" s="76"/>
      <c r="AM18" s="78"/>
      <c r="AN18" s="866">
        <v>263</v>
      </c>
      <c r="AO18" s="149">
        <v>347</v>
      </c>
      <c r="AP18" s="365">
        <v>716</v>
      </c>
      <c r="AQ18" s="595">
        <v>818.87</v>
      </c>
      <c r="AR18" s="92">
        <v>12</v>
      </c>
      <c r="AS18" s="854">
        <v>16</v>
      </c>
      <c r="AT18" s="76">
        <v>2987</v>
      </c>
      <c r="AU18" s="78">
        <v>5177</v>
      </c>
      <c r="AV18" s="94">
        <f t="shared" si="2"/>
        <v>24392.92</v>
      </c>
      <c r="AW18" s="106">
        <f t="shared" si="3"/>
        <v>32345.87</v>
      </c>
      <c r="AX18" s="103"/>
      <c r="AY18" s="854"/>
      <c r="AZ18" s="94">
        <f t="shared" si="0"/>
        <v>24392.92</v>
      </c>
      <c r="BA18" s="95">
        <f t="shared" si="1"/>
        <v>32345.87</v>
      </c>
    </row>
    <row r="19" spans="1:53" s="132" customFormat="1" ht="14.25">
      <c r="A19" s="149" t="s">
        <v>69</v>
      </c>
      <c r="B19" s="265">
        <v>10280</v>
      </c>
      <c r="C19" s="85">
        <v>13493</v>
      </c>
      <c r="D19" s="76">
        <v>82</v>
      </c>
      <c r="E19" s="78">
        <v>25</v>
      </c>
      <c r="F19" s="103">
        <v>367</v>
      </c>
      <c r="G19" s="103">
        <v>611</v>
      </c>
      <c r="H19" s="103">
        <v>7786</v>
      </c>
      <c r="I19" s="78">
        <v>13414</v>
      </c>
      <c r="J19" s="76">
        <v>1579</v>
      </c>
      <c r="K19" s="78">
        <v>1999</v>
      </c>
      <c r="L19" s="77">
        <v>9341</v>
      </c>
      <c r="M19" s="77">
        <v>12051</v>
      </c>
      <c r="N19" s="77">
        <v>328</v>
      </c>
      <c r="O19" s="86">
        <v>507</v>
      </c>
      <c r="P19" s="76">
        <v>848</v>
      </c>
      <c r="Q19" s="78">
        <v>1250</v>
      </c>
      <c r="R19" s="76">
        <v>176</v>
      </c>
      <c r="S19" s="78">
        <v>180</v>
      </c>
      <c r="T19" s="76">
        <v>815</v>
      </c>
      <c r="U19" s="78">
        <v>739</v>
      </c>
      <c r="V19" s="76">
        <v>4021</v>
      </c>
      <c r="W19" s="78">
        <v>9290</v>
      </c>
      <c r="X19" s="77">
        <v>32068</v>
      </c>
      <c r="Y19" s="86">
        <v>40311</v>
      </c>
      <c r="Z19" s="844">
        <v>2079</v>
      </c>
      <c r="AA19" s="90">
        <v>2929</v>
      </c>
      <c r="AB19" s="76">
        <v>5419.95</v>
      </c>
      <c r="AC19" s="78">
        <v>8645</v>
      </c>
      <c r="AD19" s="103">
        <v>7489</v>
      </c>
      <c r="AE19" s="86">
        <v>9409</v>
      </c>
      <c r="AF19" s="76">
        <v>544</v>
      </c>
      <c r="AG19" s="78">
        <v>498</v>
      </c>
      <c r="AH19" s="76">
        <v>8832</v>
      </c>
      <c r="AI19" s="86">
        <v>12405</v>
      </c>
      <c r="AJ19" s="76">
        <v>671</v>
      </c>
      <c r="AK19" s="86">
        <v>879</v>
      </c>
      <c r="AL19" s="76"/>
      <c r="AM19" s="78"/>
      <c r="AN19" s="866">
        <v>1646</v>
      </c>
      <c r="AO19" s="149">
        <v>2457</v>
      </c>
      <c r="AP19" s="365">
        <v>41</v>
      </c>
      <c r="AQ19" s="595">
        <v>47.6</v>
      </c>
      <c r="AR19" s="92"/>
      <c r="AS19" s="854"/>
      <c r="AT19" s="76">
        <v>455</v>
      </c>
      <c r="AU19" s="78">
        <v>493</v>
      </c>
      <c r="AV19" s="94">
        <f t="shared" si="2"/>
        <v>94867.95</v>
      </c>
      <c r="AW19" s="106">
        <f t="shared" si="3"/>
        <v>131632.6</v>
      </c>
      <c r="AX19" s="103"/>
      <c r="AY19" s="854"/>
      <c r="AZ19" s="94">
        <f t="shared" si="0"/>
        <v>94867.95</v>
      </c>
      <c r="BA19" s="95">
        <f t="shared" si="1"/>
        <v>131632.6</v>
      </c>
    </row>
    <row r="20" spans="1:53" s="132" customFormat="1" ht="14.25">
      <c r="A20" s="149" t="s">
        <v>70</v>
      </c>
      <c r="B20" s="265"/>
      <c r="C20" s="85"/>
      <c r="D20" s="76"/>
      <c r="E20" s="78"/>
      <c r="F20" s="103"/>
      <c r="G20" s="103"/>
      <c r="H20" s="103"/>
      <c r="I20" s="78"/>
      <c r="J20" s="76"/>
      <c r="K20" s="78"/>
      <c r="L20" s="77"/>
      <c r="M20" s="77"/>
      <c r="N20" s="77"/>
      <c r="O20" s="86"/>
      <c r="P20" s="76"/>
      <c r="Q20" s="78"/>
      <c r="R20" s="76">
        <v>306</v>
      </c>
      <c r="S20" s="78">
        <v>417</v>
      </c>
      <c r="T20" s="76"/>
      <c r="U20" s="78"/>
      <c r="V20" s="76">
        <v>44158</v>
      </c>
      <c r="W20" s="78">
        <v>51392</v>
      </c>
      <c r="X20" s="77"/>
      <c r="Y20" s="86"/>
      <c r="Z20" s="844"/>
      <c r="AA20" s="90"/>
      <c r="AB20" s="76"/>
      <c r="AC20" s="78"/>
      <c r="AD20" s="103"/>
      <c r="AE20" s="86"/>
      <c r="AF20" s="76">
        <v>32296</v>
      </c>
      <c r="AG20" s="78">
        <v>38980</v>
      </c>
      <c r="AH20" s="76"/>
      <c r="AI20" s="86"/>
      <c r="AJ20" s="76"/>
      <c r="AK20" s="86"/>
      <c r="AL20" s="76"/>
      <c r="AM20" s="78"/>
      <c r="AN20" s="866">
        <v>39843</v>
      </c>
      <c r="AO20" s="149">
        <v>49556</v>
      </c>
      <c r="AP20" s="365">
        <v>2936</v>
      </c>
      <c r="AQ20" s="595">
        <v>3951.77</v>
      </c>
      <c r="AR20" s="92">
        <v>7482</v>
      </c>
      <c r="AS20" s="854">
        <v>10073</v>
      </c>
      <c r="AT20" s="76">
        <v>20801</v>
      </c>
      <c r="AU20" s="78">
        <v>24147</v>
      </c>
      <c r="AV20" s="94">
        <f t="shared" si="2"/>
        <v>147822</v>
      </c>
      <c r="AW20" s="106">
        <f t="shared" si="3"/>
        <v>178516.77</v>
      </c>
      <c r="AX20" s="103"/>
      <c r="AY20" s="854"/>
      <c r="AZ20" s="94">
        <f t="shared" si="0"/>
        <v>147822</v>
      </c>
      <c r="BA20" s="95">
        <f t="shared" si="1"/>
        <v>178516.77</v>
      </c>
    </row>
    <row r="21" spans="1:53" s="132" customFormat="1" ht="14.25">
      <c r="A21" s="149" t="s">
        <v>71</v>
      </c>
      <c r="B21" s="265"/>
      <c r="C21" s="85"/>
      <c r="D21" s="76"/>
      <c r="E21" s="78"/>
      <c r="F21" s="103"/>
      <c r="G21" s="103"/>
      <c r="H21" s="103">
        <v>139</v>
      </c>
      <c r="I21" s="78">
        <v>430</v>
      </c>
      <c r="J21" s="76"/>
      <c r="K21" s="78"/>
      <c r="L21" s="77"/>
      <c r="M21" s="77"/>
      <c r="N21" s="77">
        <v>9</v>
      </c>
      <c r="O21" s="86">
        <v>10</v>
      </c>
      <c r="P21" s="76"/>
      <c r="Q21" s="78"/>
      <c r="R21" s="76"/>
      <c r="S21" s="78"/>
      <c r="T21" s="76"/>
      <c r="U21" s="78"/>
      <c r="V21" s="76">
        <v>28</v>
      </c>
      <c r="W21" s="78">
        <v>132</v>
      </c>
      <c r="X21" s="77">
        <v>2</v>
      </c>
      <c r="Y21" s="86">
        <v>42</v>
      </c>
      <c r="Z21" s="844"/>
      <c r="AA21" s="90"/>
      <c r="AB21" s="76"/>
      <c r="AC21" s="78"/>
      <c r="AD21" s="103">
        <v>190</v>
      </c>
      <c r="AE21" s="86">
        <v>530</v>
      </c>
      <c r="AF21" s="76"/>
      <c r="AG21" s="78"/>
      <c r="AH21" s="76"/>
      <c r="AI21" s="86"/>
      <c r="AJ21" s="76"/>
      <c r="AK21" s="86"/>
      <c r="AL21" s="76"/>
      <c r="AM21" s="78"/>
      <c r="AN21" s="103"/>
      <c r="AO21" s="149">
        <v>7</v>
      </c>
      <c r="AP21" s="365"/>
      <c r="AQ21" s="595"/>
      <c r="AR21" s="92"/>
      <c r="AS21" s="854"/>
      <c r="AT21" s="76">
        <v>11</v>
      </c>
      <c r="AU21" s="78">
        <v>16</v>
      </c>
      <c r="AV21" s="94">
        <f t="shared" si="2"/>
        <v>379</v>
      </c>
      <c r="AW21" s="106">
        <f t="shared" si="3"/>
        <v>1167</v>
      </c>
      <c r="AX21" s="103"/>
      <c r="AY21" s="854"/>
      <c r="AZ21" s="94">
        <f t="shared" si="0"/>
        <v>379</v>
      </c>
      <c r="BA21" s="95">
        <f t="shared" si="1"/>
        <v>1167</v>
      </c>
    </row>
    <row r="22" spans="1:53" s="132" customFormat="1" ht="14.25">
      <c r="A22" s="149" t="s">
        <v>15</v>
      </c>
      <c r="B22" s="68"/>
      <c r="C22" s="85"/>
      <c r="D22" s="94"/>
      <c r="E22" s="78"/>
      <c r="F22" s="104"/>
      <c r="G22" s="104"/>
      <c r="H22" s="104"/>
      <c r="I22" s="78"/>
      <c r="J22" s="94"/>
      <c r="K22" s="78"/>
      <c r="L22" s="97"/>
      <c r="M22" s="77"/>
      <c r="N22" s="97"/>
      <c r="O22" s="86"/>
      <c r="P22" s="94"/>
      <c r="Q22" s="78"/>
      <c r="R22" s="94"/>
      <c r="S22" s="78"/>
      <c r="T22" s="94"/>
      <c r="U22" s="78"/>
      <c r="V22" s="94"/>
      <c r="W22" s="78"/>
      <c r="X22" s="97"/>
      <c r="Y22" s="86"/>
      <c r="Z22" s="844"/>
      <c r="AA22" s="90"/>
      <c r="AB22" s="94">
        <v>42.44</v>
      </c>
      <c r="AC22" s="78">
        <v>45</v>
      </c>
      <c r="AD22" s="369"/>
      <c r="AE22" s="86"/>
      <c r="AF22" s="94"/>
      <c r="AG22" s="78"/>
      <c r="AH22" s="94"/>
      <c r="AI22" s="86"/>
      <c r="AJ22" s="94"/>
      <c r="AK22" s="99"/>
      <c r="AL22" s="76"/>
      <c r="AM22" s="78"/>
      <c r="AN22" s="866"/>
      <c r="AO22" s="149"/>
      <c r="AP22" s="365"/>
      <c r="AQ22" s="595"/>
      <c r="AR22" s="92"/>
      <c r="AS22" s="854"/>
      <c r="AT22" s="94"/>
      <c r="AU22" s="78"/>
      <c r="AV22" s="94">
        <f t="shared" si="2"/>
        <v>42.44</v>
      </c>
      <c r="AW22" s="106">
        <f t="shared" si="3"/>
        <v>45</v>
      </c>
      <c r="AX22" s="104"/>
      <c r="AY22" s="854"/>
      <c r="AZ22" s="94">
        <f t="shared" si="0"/>
        <v>42.44</v>
      </c>
      <c r="BA22" s="95">
        <f t="shared" si="1"/>
        <v>45</v>
      </c>
    </row>
    <row r="23" spans="1:53" s="132" customFormat="1" ht="14.25">
      <c r="A23" s="149" t="s">
        <v>17</v>
      </c>
      <c r="B23" s="265"/>
      <c r="C23" s="85"/>
      <c r="D23" s="76"/>
      <c r="E23" s="78"/>
      <c r="F23" s="103">
        <v>89</v>
      </c>
      <c r="G23" s="103">
        <v>63</v>
      </c>
      <c r="H23" s="103"/>
      <c r="I23" s="78"/>
      <c r="J23" s="76"/>
      <c r="K23" s="78"/>
      <c r="L23" s="77"/>
      <c r="M23" s="77"/>
      <c r="N23" s="77"/>
      <c r="O23" s="86"/>
      <c r="P23" s="76"/>
      <c r="Q23" s="78"/>
      <c r="R23" s="76"/>
      <c r="S23" s="78"/>
      <c r="T23" s="76">
        <v>40</v>
      </c>
      <c r="U23" s="78">
        <v>85</v>
      </c>
      <c r="V23" s="76">
        <v>41</v>
      </c>
      <c r="W23" s="78">
        <v>61</v>
      </c>
      <c r="X23" s="77">
        <v>134</v>
      </c>
      <c r="Y23" s="86">
        <v>200</v>
      </c>
      <c r="Z23" s="844"/>
      <c r="AA23" s="90"/>
      <c r="AB23" s="76"/>
      <c r="AC23" s="78"/>
      <c r="AD23" s="103"/>
      <c r="AE23" s="86"/>
      <c r="AF23" s="76">
        <v>175</v>
      </c>
      <c r="AG23" s="78">
        <v>318</v>
      </c>
      <c r="AH23" s="76">
        <v>247</v>
      </c>
      <c r="AI23" s="86">
        <v>615</v>
      </c>
      <c r="AJ23" s="76"/>
      <c r="AK23" s="86"/>
      <c r="AL23" s="76"/>
      <c r="AM23" s="78"/>
      <c r="AN23" s="866">
        <v>3</v>
      </c>
      <c r="AO23" s="149">
        <v>2</v>
      </c>
      <c r="AP23" s="365"/>
      <c r="AQ23" s="595"/>
      <c r="AR23" s="92"/>
      <c r="AS23" s="854"/>
      <c r="AT23" s="76"/>
      <c r="AU23" s="78"/>
      <c r="AV23" s="94">
        <f t="shared" si="2"/>
        <v>729</v>
      </c>
      <c r="AW23" s="106">
        <f t="shared" si="3"/>
        <v>1344</v>
      </c>
      <c r="AX23" s="266"/>
      <c r="AY23" s="854"/>
      <c r="AZ23" s="94">
        <f t="shared" si="0"/>
        <v>729</v>
      </c>
      <c r="BA23" s="95">
        <f t="shared" si="1"/>
        <v>1344</v>
      </c>
    </row>
    <row r="24" spans="1:53" s="132" customFormat="1" ht="14.25">
      <c r="A24" s="149" t="s">
        <v>72</v>
      </c>
      <c r="B24" s="265">
        <v>2</v>
      </c>
      <c r="C24" s="85">
        <v>12</v>
      </c>
      <c r="D24" s="76">
        <v>43</v>
      </c>
      <c r="E24" s="78">
        <v>86</v>
      </c>
      <c r="F24" s="103"/>
      <c r="G24" s="103"/>
      <c r="H24" s="103"/>
      <c r="I24" s="78"/>
      <c r="J24" s="76"/>
      <c r="K24" s="78">
        <v>3</v>
      </c>
      <c r="L24" s="77">
        <v>80</v>
      </c>
      <c r="M24" s="77">
        <v>69</v>
      </c>
      <c r="N24" s="77"/>
      <c r="O24" s="86"/>
      <c r="P24" s="76">
        <v>2</v>
      </c>
      <c r="Q24" s="78">
        <v>1</v>
      </c>
      <c r="R24" s="76"/>
      <c r="S24" s="78"/>
      <c r="T24" s="76">
        <v>1</v>
      </c>
      <c r="U24" s="78"/>
      <c r="V24" s="76">
        <v>185</v>
      </c>
      <c r="W24" s="78">
        <v>550</v>
      </c>
      <c r="X24" s="77">
        <v>1309</v>
      </c>
      <c r="Y24" s="86">
        <v>722</v>
      </c>
      <c r="Z24" s="844"/>
      <c r="AA24" s="90"/>
      <c r="AB24" s="76">
        <v>0.05</v>
      </c>
      <c r="AC24" s="78">
        <v>0.14000000000000001</v>
      </c>
      <c r="AD24" s="103">
        <v>1</v>
      </c>
      <c r="AE24" s="86">
        <v>1</v>
      </c>
      <c r="AF24" s="76">
        <v>1250</v>
      </c>
      <c r="AG24" s="78">
        <v>1525</v>
      </c>
      <c r="AH24" s="76">
        <v>181</v>
      </c>
      <c r="AI24" s="86">
        <v>424</v>
      </c>
      <c r="AJ24" s="76">
        <v>2</v>
      </c>
      <c r="AK24" s="86">
        <v>1</v>
      </c>
      <c r="AL24" s="76"/>
      <c r="AM24" s="78"/>
      <c r="AN24" s="866">
        <v>18</v>
      </c>
      <c r="AO24" s="149">
        <v>11</v>
      </c>
      <c r="AP24" s="365">
        <v>12.01</v>
      </c>
      <c r="AQ24" s="595">
        <v>0.04</v>
      </c>
      <c r="AR24" s="92"/>
      <c r="AS24" s="854"/>
      <c r="AT24" s="76">
        <v>1957</v>
      </c>
      <c r="AU24" s="78">
        <v>1491</v>
      </c>
      <c r="AV24" s="94">
        <f t="shared" si="2"/>
        <v>5043.0600000000004</v>
      </c>
      <c r="AW24" s="106">
        <f t="shared" si="3"/>
        <v>4896.18</v>
      </c>
      <c r="AX24" s="266"/>
      <c r="AY24" s="854"/>
      <c r="AZ24" s="94">
        <f t="shared" si="0"/>
        <v>5043.0600000000004</v>
      </c>
      <c r="BA24" s="95">
        <f t="shared" si="1"/>
        <v>4896.18</v>
      </c>
    </row>
    <row r="25" spans="1:53" s="132" customFormat="1" ht="14.25">
      <c r="A25" s="149" t="s">
        <v>73</v>
      </c>
      <c r="B25" s="371"/>
      <c r="C25" s="85"/>
      <c r="D25" s="119"/>
      <c r="E25" s="78"/>
      <c r="F25" s="116"/>
      <c r="G25" s="116">
        <v>3</v>
      </c>
      <c r="H25" s="116"/>
      <c r="I25" s="78"/>
      <c r="J25" s="119"/>
      <c r="K25" s="78"/>
      <c r="L25" s="117"/>
      <c r="M25" s="77"/>
      <c r="N25" s="117"/>
      <c r="O25" s="86"/>
      <c r="P25" s="119"/>
      <c r="Q25" s="78"/>
      <c r="R25" s="119">
        <v>21</v>
      </c>
      <c r="S25" s="78">
        <v>21</v>
      </c>
      <c r="T25" s="119"/>
      <c r="U25" s="78"/>
      <c r="V25" s="119"/>
      <c r="W25" s="78"/>
      <c r="X25" s="117"/>
      <c r="Y25" s="86"/>
      <c r="Z25" s="860"/>
      <c r="AA25" s="90"/>
      <c r="AB25" s="119"/>
      <c r="AC25" s="78"/>
      <c r="AD25" s="116">
        <v>2</v>
      </c>
      <c r="AE25" s="86"/>
      <c r="AF25" s="119"/>
      <c r="AG25" s="78"/>
      <c r="AH25" s="119"/>
      <c r="AI25" s="86"/>
      <c r="AJ25" s="119"/>
      <c r="AK25" s="120"/>
      <c r="AL25" s="119"/>
      <c r="AM25" s="78"/>
      <c r="AN25" s="868"/>
      <c r="AO25" s="149"/>
      <c r="AP25" s="373"/>
      <c r="AQ25" s="595"/>
      <c r="AR25" s="122"/>
      <c r="AS25" s="854"/>
      <c r="AT25" s="119"/>
      <c r="AU25" s="78"/>
      <c r="AV25" s="94">
        <f t="shared" si="2"/>
        <v>23</v>
      </c>
      <c r="AW25" s="106">
        <f t="shared" si="3"/>
        <v>24</v>
      </c>
      <c r="AX25" s="864"/>
      <c r="AY25" s="854"/>
      <c r="AZ25" s="94">
        <f t="shared" si="0"/>
        <v>23</v>
      </c>
      <c r="BA25" s="95">
        <f t="shared" si="1"/>
        <v>24</v>
      </c>
    </row>
    <row r="26" spans="1:53" s="132" customFormat="1" ht="14.25">
      <c r="A26" s="372" t="s">
        <v>16</v>
      </c>
      <c r="B26" s="371"/>
      <c r="C26" s="85"/>
      <c r="D26" s="119"/>
      <c r="E26" s="78"/>
      <c r="F26" s="116"/>
      <c r="G26" s="78"/>
      <c r="H26" s="116">
        <v>527</v>
      </c>
      <c r="I26" s="78">
        <v>126</v>
      </c>
      <c r="J26" s="119"/>
      <c r="K26" s="78"/>
      <c r="L26" s="117">
        <v>234</v>
      </c>
      <c r="M26" s="77">
        <v>162</v>
      </c>
      <c r="N26" s="117"/>
      <c r="O26" s="86"/>
      <c r="P26" s="119"/>
      <c r="Q26" s="78"/>
      <c r="R26" s="119">
        <v>276</v>
      </c>
      <c r="S26" s="78">
        <v>134</v>
      </c>
      <c r="T26" s="119"/>
      <c r="U26" s="78"/>
      <c r="V26" s="119">
        <v>588</v>
      </c>
      <c r="W26" s="78">
        <v>174</v>
      </c>
      <c r="X26" s="117"/>
      <c r="Y26" s="86"/>
      <c r="Z26" s="860"/>
      <c r="AA26" s="90"/>
      <c r="AB26" s="119"/>
      <c r="AC26" s="78"/>
      <c r="AD26" s="116">
        <v>4</v>
      </c>
      <c r="AE26" s="86">
        <v>91</v>
      </c>
      <c r="AF26" s="119"/>
      <c r="AG26" s="78"/>
      <c r="AH26" s="119"/>
      <c r="AI26" s="86"/>
      <c r="AJ26" s="119"/>
      <c r="AK26" s="120"/>
      <c r="AL26" s="119"/>
      <c r="AM26" s="78"/>
      <c r="AN26" s="868"/>
      <c r="AO26" s="372"/>
      <c r="AP26" s="373"/>
      <c r="AQ26" s="596"/>
      <c r="AR26" s="122"/>
      <c r="AS26" s="123"/>
      <c r="AT26" s="119"/>
      <c r="AU26" s="115"/>
      <c r="AV26" s="124"/>
      <c r="AW26" s="126"/>
      <c r="AX26" s="864"/>
      <c r="AY26" s="854"/>
      <c r="AZ26" s="124"/>
      <c r="BA26" s="375"/>
    </row>
    <row r="27" spans="1:53" s="132" customFormat="1" ht="15" thickBot="1">
      <c r="A27" s="372" t="s">
        <v>74</v>
      </c>
      <c r="B27" s="371"/>
      <c r="C27" s="85"/>
      <c r="D27" s="119"/>
      <c r="E27" s="78"/>
      <c r="F27" s="116"/>
      <c r="G27" s="78"/>
      <c r="H27" s="116"/>
      <c r="I27" s="78"/>
      <c r="J27" s="119"/>
      <c r="K27" s="78"/>
      <c r="L27" s="117"/>
      <c r="M27" s="77"/>
      <c r="N27" s="117"/>
      <c r="O27" s="86"/>
      <c r="P27" s="119"/>
      <c r="Q27" s="78"/>
      <c r="R27" s="119"/>
      <c r="S27" s="78"/>
      <c r="T27" s="119"/>
      <c r="U27" s="78"/>
      <c r="V27" s="119"/>
      <c r="W27" s="78"/>
      <c r="X27" s="117"/>
      <c r="Y27" s="86"/>
      <c r="Z27" s="860"/>
      <c r="AA27" s="90"/>
      <c r="AB27" s="119"/>
      <c r="AC27" s="78"/>
      <c r="AD27" s="116"/>
      <c r="AE27" s="86"/>
      <c r="AF27" s="119">
        <v>-19</v>
      </c>
      <c r="AG27" s="78">
        <v>-3</v>
      </c>
      <c r="AH27" s="119"/>
      <c r="AI27" s="86"/>
      <c r="AJ27" s="119"/>
      <c r="AK27" s="120"/>
      <c r="AL27" s="119"/>
      <c r="AM27" s="78"/>
      <c r="AN27" s="868"/>
      <c r="AO27" s="372"/>
      <c r="AP27" s="373"/>
      <c r="AQ27" s="596"/>
      <c r="AR27" s="122"/>
      <c r="AS27" s="123"/>
      <c r="AT27" s="119"/>
      <c r="AU27" s="115"/>
      <c r="AV27" s="124">
        <f>SUM(B27+D27+F27+H27+J27+L27+N27+P27+R27+T27+V27+X27+Z27+AB27+AD27+AF27+AH27+AJ27+AL27+AN27+AP27+AR27+AT27)</f>
        <v>-19</v>
      </c>
      <c r="AW27" s="126">
        <v>4</v>
      </c>
      <c r="AX27" s="864"/>
      <c r="AY27" s="854"/>
      <c r="AZ27" s="124">
        <f>AV27+AX27</f>
        <v>-19</v>
      </c>
      <c r="BA27" s="375">
        <f>AW27+AY27</f>
        <v>4</v>
      </c>
    </row>
    <row r="28" spans="1:53" s="374" customFormat="1" ht="15" thickBot="1">
      <c r="A28" s="386" t="s">
        <v>54</v>
      </c>
      <c r="B28" s="376">
        <f>SUM(B17:B25)</f>
        <v>19644</v>
      </c>
      <c r="C28" s="378">
        <f t="shared" ref="C28:I28" si="14">SUM(C17:C25)</f>
        <v>23134</v>
      </c>
      <c r="D28" s="376">
        <f t="shared" si="14"/>
        <v>250</v>
      </c>
      <c r="E28" s="378">
        <f t="shared" si="14"/>
        <v>189</v>
      </c>
      <c r="F28" s="379">
        <f t="shared" si="14"/>
        <v>1003</v>
      </c>
      <c r="G28" s="378">
        <f t="shared" si="14"/>
        <v>1324</v>
      </c>
      <c r="H28" s="379">
        <f>SUM(H17:H27)</f>
        <v>20687</v>
      </c>
      <c r="I28" s="378">
        <f t="shared" si="14"/>
        <v>28716</v>
      </c>
      <c r="J28" s="376">
        <f t="shared" ref="J28:AN28" si="15">SUM(J17:J27)</f>
        <v>7530</v>
      </c>
      <c r="K28" s="378">
        <f t="shared" si="15"/>
        <v>7008</v>
      </c>
      <c r="L28" s="376">
        <f t="shared" si="15"/>
        <v>9749</v>
      </c>
      <c r="M28" s="376">
        <f t="shared" si="15"/>
        <v>12397</v>
      </c>
      <c r="N28" s="376">
        <f t="shared" si="15"/>
        <v>1297</v>
      </c>
      <c r="O28" s="377">
        <f t="shared" si="15"/>
        <v>1427</v>
      </c>
      <c r="P28" s="376">
        <f t="shared" si="15"/>
        <v>3771</v>
      </c>
      <c r="Q28" s="378">
        <f t="shared" si="15"/>
        <v>4069</v>
      </c>
      <c r="R28" s="376">
        <f t="shared" si="15"/>
        <v>8654</v>
      </c>
      <c r="S28" s="378">
        <f t="shared" si="15"/>
        <v>7564</v>
      </c>
      <c r="T28" s="376">
        <f t="shared" si="15"/>
        <v>1363</v>
      </c>
      <c r="U28" s="378">
        <f t="shared" si="15"/>
        <v>1317</v>
      </c>
      <c r="V28" s="376">
        <f t="shared" si="15"/>
        <v>66467</v>
      </c>
      <c r="W28" s="378">
        <f t="shared" si="15"/>
        <v>84215</v>
      </c>
      <c r="X28" s="376">
        <f t="shared" si="15"/>
        <v>55659</v>
      </c>
      <c r="Y28" s="377">
        <f t="shared" si="15"/>
        <v>69563</v>
      </c>
      <c r="Z28" s="376">
        <f t="shared" si="15"/>
        <v>2285</v>
      </c>
      <c r="AA28" s="378">
        <f t="shared" si="15"/>
        <v>3233</v>
      </c>
      <c r="AB28" s="376">
        <f t="shared" si="15"/>
        <v>5799.44</v>
      </c>
      <c r="AC28" s="378">
        <f t="shared" si="15"/>
        <v>9651.14</v>
      </c>
      <c r="AD28" s="379">
        <f t="shared" si="15"/>
        <v>16368</v>
      </c>
      <c r="AE28" s="377">
        <f t="shared" si="15"/>
        <v>18149</v>
      </c>
      <c r="AF28" s="376">
        <f t="shared" si="15"/>
        <v>45000</v>
      </c>
      <c r="AG28" s="378">
        <f t="shared" si="15"/>
        <v>53874</v>
      </c>
      <c r="AH28" s="376">
        <f t="shared" si="15"/>
        <v>11209</v>
      </c>
      <c r="AI28" s="377">
        <f t="shared" si="15"/>
        <v>15647</v>
      </c>
      <c r="AJ28" s="376">
        <f t="shared" si="15"/>
        <v>6195</v>
      </c>
      <c r="AK28" s="377">
        <f t="shared" si="15"/>
        <v>6293</v>
      </c>
      <c r="AL28" s="376">
        <f>AL9</f>
        <v>0</v>
      </c>
      <c r="AM28" s="378">
        <f>AM9</f>
        <v>0</v>
      </c>
      <c r="AN28" s="379">
        <f t="shared" si="15"/>
        <v>65671</v>
      </c>
      <c r="AO28" s="381">
        <f t="shared" ref="AO28:AU28" si="16">SUM(AO17:AO27)</f>
        <v>82027</v>
      </c>
      <c r="AP28" s="382">
        <f t="shared" si="16"/>
        <v>4305.01</v>
      </c>
      <c r="AQ28" s="862">
        <f t="shared" si="16"/>
        <v>5539.28</v>
      </c>
      <c r="AR28" s="380">
        <f t="shared" si="16"/>
        <v>7505</v>
      </c>
      <c r="AS28" s="381">
        <f t="shared" si="16"/>
        <v>10097</v>
      </c>
      <c r="AT28" s="382">
        <f t="shared" si="16"/>
        <v>41073</v>
      </c>
      <c r="AU28" s="862">
        <f t="shared" si="16"/>
        <v>47916</v>
      </c>
      <c r="AV28" s="382">
        <f>SUM(B28+D28+F28+H28+J28+L28+N28+P28+R28+T28+V28+X28+Z28+AB28+AD28+AF28+AH28+AJ28+AL28+AN28+AP28+AR28+AT28)</f>
        <v>401484.45</v>
      </c>
      <c r="AW28" s="390">
        <f>SUM(C28+E28+G28+I28+K28+M28+O28+Q28+S28+U28+W28+Y28+AA28+AC28+AE28+AG28+AI28+AK28+AM28+AO28+AQ28+AS28+AU28)</f>
        <v>493349.42000000004</v>
      </c>
      <c r="AX28" s="384">
        <f>SUM(AX17:AX27)</f>
        <v>0</v>
      </c>
      <c r="AY28" s="870">
        <f>SUM(AY17:AY27)</f>
        <v>0</v>
      </c>
      <c r="AZ28" s="382">
        <f>AV28+AX28</f>
        <v>401484.45</v>
      </c>
      <c r="BA28" s="385">
        <f>AW28+AY28</f>
        <v>493349.42000000004</v>
      </c>
    </row>
  </sheetData>
  <mergeCells count="29">
    <mergeCell ref="A1:AZ1"/>
    <mergeCell ref="A2:AZ2"/>
    <mergeCell ref="A3:A4"/>
    <mergeCell ref="N3:O3"/>
    <mergeCell ref="D3:E3"/>
    <mergeCell ref="F3:G3"/>
    <mergeCell ref="B3:C3"/>
    <mergeCell ref="H3:I3"/>
    <mergeCell ref="J3:K3"/>
    <mergeCell ref="L3:M3"/>
    <mergeCell ref="P3:Q3"/>
    <mergeCell ref="AT3:AU3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AP3:AQ3"/>
    <mergeCell ref="AR3:AS3"/>
    <mergeCell ref="AV3:AW3"/>
    <mergeCell ref="AX3:AY3"/>
    <mergeCell ref="AZ3:BA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40"/>
  <sheetViews>
    <sheetView workbookViewId="0">
      <pane xSplit="1" topLeftCell="B1" activePane="topRight" state="frozen"/>
      <selection pane="topRight" activeCell="A14" sqref="A14"/>
    </sheetView>
  </sheetViews>
  <sheetFormatPr defaultRowHeight="16.5"/>
  <cols>
    <col min="1" max="1" width="59.42578125" style="100" bestFit="1" customWidth="1"/>
    <col min="2" max="26" width="12.42578125" style="100" bestFit="1" customWidth="1"/>
    <col min="27" max="27" width="12.42578125" style="100" customWidth="1"/>
    <col min="28" max="53" width="12.42578125" style="100" bestFit="1" customWidth="1"/>
    <col min="54" max="16384" width="9.140625" style="100"/>
  </cols>
  <sheetData>
    <row r="1" spans="1:53" ht="18">
      <c r="A1" s="1116" t="s">
        <v>147</v>
      </c>
      <c r="B1" s="1116"/>
      <c r="C1" s="1116"/>
      <c r="D1" s="1116"/>
      <c r="E1" s="1116"/>
      <c r="F1" s="1116"/>
      <c r="G1" s="1116"/>
      <c r="H1" s="1116"/>
      <c r="I1" s="1116"/>
      <c r="J1" s="1116"/>
      <c r="K1" s="1116"/>
      <c r="L1" s="1116"/>
      <c r="M1" s="1116"/>
      <c r="N1" s="1116"/>
      <c r="O1" s="1116"/>
      <c r="P1" s="1116"/>
      <c r="Q1" s="1116"/>
      <c r="R1" s="1116"/>
      <c r="S1" s="1116"/>
      <c r="T1" s="1116"/>
      <c r="U1" s="1116"/>
      <c r="V1" s="1116"/>
      <c r="W1" s="1116"/>
      <c r="X1" s="1116"/>
      <c r="Y1" s="1116"/>
      <c r="Z1" s="1116"/>
      <c r="AA1" s="1116"/>
      <c r="AB1" s="1116"/>
      <c r="AC1" s="1116"/>
      <c r="AD1" s="1116"/>
      <c r="AE1" s="1116"/>
      <c r="AF1" s="1116"/>
      <c r="AG1" s="1116"/>
      <c r="AH1" s="1116"/>
      <c r="AI1" s="1116"/>
      <c r="AJ1" s="1116"/>
      <c r="AK1" s="1116"/>
      <c r="AL1" s="1116"/>
      <c r="AM1" s="1116"/>
      <c r="AN1" s="1116"/>
      <c r="AO1" s="1116"/>
      <c r="AP1" s="1116"/>
      <c r="AQ1" s="1116"/>
      <c r="AR1" s="1116"/>
      <c r="AS1" s="1116"/>
      <c r="AT1" s="1116"/>
      <c r="AU1" s="1116"/>
      <c r="AV1" s="1116"/>
      <c r="AW1" s="1116"/>
      <c r="AX1" s="1116"/>
      <c r="AY1" s="1116"/>
      <c r="AZ1" s="1116"/>
    </row>
    <row r="2" spans="1:53" s="387" customFormat="1" ht="18.75" thickBot="1">
      <c r="A2" s="1109" t="s">
        <v>373</v>
      </c>
      <c r="B2" s="1109"/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1109"/>
      <c r="Q2" s="1109"/>
      <c r="R2" s="1109"/>
      <c r="S2" s="1109"/>
      <c r="T2" s="1109"/>
      <c r="U2" s="1109"/>
      <c r="V2" s="1109"/>
      <c r="W2" s="1109"/>
      <c r="X2" s="1109"/>
      <c r="Y2" s="1109"/>
      <c r="Z2" s="1109"/>
      <c r="AA2" s="1109"/>
      <c r="AB2" s="1109"/>
      <c r="AC2" s="1109"/>
      <c r="AD2" s="1109"/>
      <c r="AE2" s="1109"/>
      <c r="AF2" s="1109"/>
      <c r="AG2" s="1109"/>
      <c r="AH2" s="1109"/>
      <c r="AI2" s="1109"/>
      <c r="AJ2" s="1109"/>
      <c r="AK2" s="1109"/>
      <c r="AL2" s="1109"/>
      <c r="AM2" s="1109"/>
      <c r="AN2" s="1109"/>
      <c r="AO2" s="1109"/>
      <c r="AP2" s="1109"/>
      <c r="AQ2" s="1109"/>
      <c r="AR2" s="1109"/>
      <c r="AS2" s="1109"/>
      <c r="AT2" s="1109"/>
      <c r="AU2" s="1109"/>
      <c r="AV2" s="1109"/>
      <c r="AW2" s="1109"/>
      <c r="AX2" s="1109"/>
      <c r="AY2" s="1109"/>
      <c r="AZ2" s="1109"/>
    </row>
    <row r="3" spans="1:53" s="576" customFormat="1" ht="30.75" customHeight="1" thickBot="1">
      <c r="A3" s="1117" t="s">
        <v>0</v>
      </c>
      <c r="B3" s="1119" t="s">
        <v>150</v>
      </c>
      <c r="C3" s="1120"/>
      <c r="D3" s="1112" t="s">
        <v>151</v>
      </c>
      <c r="E3" s="1113"/>
      <c r="F3" s="1112" t="s">
        <v>152</v>
      </c>
      <c r="G3" s="1113"/>
      <c r="H3" s="1112" t="s">
        <v>153</v>
      </c>
      <c r="I3" s="1113"/>
      <c r="J3" s="1112" t="s">
        <v>154</v>
      </c>
      <c r="K3" s="1113"/>
      <c r="L3" s="1112" t="s">
        <v>155</v>
      </c>
      <c r="M3" s="1113"/>
      <c r="N3" s="1112" t="s">
        <v>255</v>
      </c>
      <c r="O3" s="1113"/>
      <c r="P3" s="1112" t="s">
        <v>156</v>
      </c>
      <c r="Q3" s="1113"/>
      <c r="R3" s="1112" t="s">
        <v>157</v>
      </c>
      <c r="S3" s="1113"/>
      <c r="T3" s="1112" t="s">
        <v>158</v>
      </c>
      <c r="U3" s="1113"/>
      <c r="V3" s="1112" t="s">
        <v>159</v>
      </c>
      <c r="W3" s="1113"/>
      <c r="X3" s="1112" t="s">
        <v>160</v>
      </c>
      <c r="Y3" s="1113"/>
      <c r="Z3" s="1112" t="s">
        <v>365</v>
      </c>
      <c r="AA3" s="1113"/>
      <c r="AB3" s="1112" t="s">
        <v>161</v>
      </c>
      <c r="AC3" s="1113"/>
      <c r="AD3" s="1112" t="s">
        <v>162</v>
      </c>
      <c r="AE3" s="1113"/>
      <c r="AF3" s="1112" t="s">
        <v>163</v>
      </c>
      <c r="AG3" s="1113"/>
      <c r="AH3" s="1112" t="s">
        <v>164</v>
      </c>
      <c r="AI3" s="1113"/>
      <c r="AJ3" s="1112" t="s">
        <v>165</v>
      </c>
      <c r="AK3" s="1113"/>
      <c r="AL3" s="1112" t="s">
        <v>166</v>
      </c>
      <c r="AM3" s="1113"/>
      <c r="AN3" s="1112" t="s">
        <v>167</v>
      </c>
      <c r="AO3" s="1113"/>
      <c r="AP3" s="1114" t="s">
        <v>168</v>
      </c>
      <c r="AQ3" s="1115"/>
      <c r="AR3" s="1123" t="s">
        <v>169</v>
      </c>
      <c r="AS3" s="1124"/>
      <c r="AT3" s="1112" t="s">
        <v>170</v>
      </c>
      <c r="AU3" s="1113"/>
      <c r="AV3" s="1112" t="s">
        <v>1</v>
      </c>
      <c r="AW3" s="1113"/>
      <c r="AX3" s="1114" t="s">
        <v>171</v>
      </c>
      <c r="AY3" s="1115"/>
      <c r="AZ3" s="1121" t="s">
        <v>2</v>
      </c>
      <c r="BA3" s="1122"/>
    </row>
    <row r="4" spans="1:53" s="388" customFormat="1" ht="15" customHeight="1" thickBot="1">
      <c r="A4" s="1118"/>
      <c r="B4" s="423" t="s">
        <v>254</v>
      </c>
      <c r="C4" s="406" t="s">
        <v>358</v>
      </c>
      <c r="D4" s="423" t="s">
        <v>254</v>
      </c>
      <c r="E4" s="406" t="s">
        <v>358</v>
      </c>
      <c r="F4" s="423" t="s">
        <v>254</v>
      </c>
      <c r="G4" s="406" t="s">
        <v>358</v>
      </c>
      <c r="H4" s="423" t="s">
        <v>254</v>
      </c>
      <c r="I4" s="406" t="s">
        <v>358</v>
      </c>
      <c r="J4" s="423" t="s">
        <v>254</v>
      </c>
      <c r="K4" s="406" t="s">
        <v>358</v>
      </c>
      <c r="L4" s="423" t="s">
        <v>254</v>
      </c>
      <c r="M4" s="406" t="s">
        <v>358</v>
      </c>
      <c r="N4" s="423" t="s">
        <v>254</v>
      </c>
      <c r="O4" s="406" t="s">
        <v>358</v>
      </c>
      <c r="P4" s="423" t="s">
        <v>254</v>
      </c>
      <c r="Q4" s="406" t="s">
        <v>358</v>
      </c>
      <c r="R4" s="423" t="s">
        <v>254</v>
      </c>
      <c r="S4" s="406" t="s">
        <v>358</v>
      </c>
      <c r="T4" s="423" t="s">
        <v>254</v>
      </c>
      <c r="U4" s="406" t="s">
        <v>358</v>
      </c>
      <c r="V4" s="423" t="s">
        <v>254</v>
      </c>
      <c r="W4" s="406" t="s">
        <v>358</v>
      </c>
      <c r="X4" s="423" t="s">
        <v>254</v>
      </c>
      <c r="Y4" s="406" t="s">
        <v>358</v>
      </c>
      <c r="Z4" s="423" t="s">
        <v>254</v>
      </c>
      <c r="AA4" s="406" t="s">
        <v>358</v>
      </c>
      <c r="AB4" s="423" t="s">
        <v>254</v>
      </c>
      <c r="AC4" s="406" t="s">
        <v>358</v>
      </c>
      <c r="AD4" s="423" t="s">
        <v>254</v>
      </c>
      <c r="AE4" s="406" t="s">
        <v>358</v>
      </c>
      <c r="AF4" s="423" t="s">
        <v>254</v>
      </c>
      <c r="AG4" s="406" t="s">
        <v>358</v>
      </c>
      <c r="AH4" s="423" t="s">
        <v>254</v>
      </c>
      <c r="AI4" s="406" t="s">
        <v>358</v>
      </c>
      <c r="AJ4" s="423" t="s">
        <v>254</v>
      </c>
      <c r="AK4" s="406" t="s">
        <v>358</v>
      </c>
      <c r="AL4" s="423" t="s">
        <v>254</v>
      </c>
      <c r="AM4" s="406" t="s">
        <v>358</v>
      </c>
      <c r="AN4" s="423" t="s">
        <v>254</v>
      </c>
      <c r="AO4" s="406" t="s">
        <v>358</v>
      </c>
      <c r="AP4" s="423" t="s">
        <v>254</v>
      </c>
      <c r="AQ4" s="406" t="s">
        <v>358</v>
      </c>
      <c r="AR4" s="423" t="s">
        <v>254</v>
      </c>
      <c r="AS4" s="406" t="s">
        <v>358</v>
      </c>
      <c r="AT4" s="423" t="s">
        <v>254</v>
      </c>
      <c r="AU4" s="406" t="s">
        <v>358</v>
      </c>
      <c r="AV4" s="423" t="s">
        <v>254</v>
      </c>
      <c r="AW4" s="406" t="s">
        <v>358</v>
      </c>
      <c r="AX4" s="423" t="s">
        <v>254</v>
      </c>
      <c r="AY4" s="406" t="s">
        <v>358</v>
      </c>
      <c r="AZ4" s="423" t="s">
        <v>254</v>
      </c>
      <c r="BA4" s="399" t="s">
        <v>358</v>
      </c>
    </row>
    <row r="5" spans="1:53" ht="15" customHeight="1">
      <c r="A5" s="490" t="s">
        <v>75</v>
      </c>
      <c r="B5" s="489">
        <v>31453</v>
      </c>
      <c r="C5" s="704">
        <v>34584</v>
      </c>
      <c r="D5" s="489">
        <v>4629</v>
      </c>
      <c r="E5" s="704">
        <v>3642</v>
      </c>
      <c r="F5" s="156">
        <v>8543</v>
      </c>
      <c r="G5" s="704">
        <v>7747</v>
      </c>
      <c r="H5" s="489">
        <v>48674.69</v>
      </c>
      <c r="I5" s="704">
        <v>78500</v>
      </c>
      <c r="J5" s="489">
        <v>14309.58</v>
      </c>
      <c r="K5" s="704">
        <v>22583</v>
      </c>
      <c r="L5" s="489">
        <v>16509.810000000001</v>
      </c>
      <c r="M5" s="704">
        <v>20340</v>
      </c>
      <c r="N5" s="489">
        <v>7655.61</v>
      </c>
      <c r="O5" s="704">
        <v>8373</v>
      </c>
      <c r="P5" s="489">
        <v>14663.93</v>
      </c>
      <c r="Q5" s="704">
        <v>13451</v>
      </c>
      <c r="R5" s="489">
        <v>14721</v>
      </c>
      <c r="S5" s="704">
        <v>13906</v>
      </c>
      <c r="T5" s="489">
        <v>17411</v>
      </c>
      <c r="U5" s="704">
        <v>15632</v>
      </c>
      <c r="V5" s="489">
        <v>70721</v>
      </c>
      <c r="W5" s="704">
        <v>94722</v>
      </c>
      <c r="X5" s="489">
        <v>4351861</v>
      </c>
      <c r="Y5" s="704"/>
      <c r="Z5" s="489">
        <v>4970.95</v>
      </c>
      <c r="AA5" s="704">
        <v>6308</v>
      </c>
      <c r="AB5" s="489">
        <v>12536.19</v>
      </c>
      <c r="AC5" s="704">
        <v>14060.46</v>
      </c>
      <c r="AD5" s="489">
        <v>44390.59</v>
      </c>
      <c r="AE5" s="704">
        <v>48780</v>
      </c>
      <c r="AF5" s="489">
        <v>65463.46</v>
      </c>
      <c r="AG5" s="704">
        <v>77800</v>
      </c>
      <c r="AH5" s="489">
        <v>30095.119999999999</v>
      </c>
      <c r="AI5" s="704">
        <v>33382</v>
      </c>
      <c r="AJ5" s="489">
        <v>34199</v>
      </c>
      <c r="AK5" s="704">
        <v>34527</v>
      </c>
      <c r="AL5" s="489"/>
      <c r="AM5" s="704"/>
      <c r="AN5" s="717">
        <v>72131.28</v>
      </c>
      <c r="AO5" s="714">
        <v>77186</v>
      </c>
      <c r="AP5" s="489">
        <v>15441.21</v>
      </c>
      <c r="AQ5" s="704">
        <v>15142</v>
      </c>
      <c r="AR5" s="489">
        <v>12429.1</v>
      </c>
      <c r="AS5" s="704">
        <v>14701</v>
      </c>
      <c r="AT5" s="489">
        <v>33884.22</v>
      </c>
      <c r="AU5" s="704">
        <v>47970</v>
      </c>
      <c r="AV5" s="489">
        <f>SUM(B5+D5+F5+H5+J5+L5+N5+P5+R5+T5+V5+X5+Z5+AB5+AD5+AF5+AH5+AJ5+AL5+AN5+AP5+AR5+AT5)</f>
        <v>4926693.74</v>
      </c>
      <c r="AW5" s="489">
        <f>SUM(C5+E5+G5+I5+K5+M5+O5+Q5+S5+U5+W5+Y5+AA5+AC5+AE5+AG5+AI5+AK5+AM5+AO5+AQ5+AS5+AU5)</f>
        <v>683336.46</v>
      </c>
      <c r="AX5" s="489"/>
      <c r="AY5" s="704"/>
      <c r="AZ5" s="157">
        <f>AV5+AX5</f>
        <v>4926693.74</v>
      </c>
      <c r="BA5" s="994">
        <f>AW5+AY5</f>
        <v>683336.46</v>
      </c>
    </row>
    <row r="6" spans="1:53">
      <c r="A6" s="151" t="s">
        <v>76</v>
      </c>
      <c r="B6" s="152">
        <v>198.13</v>
      </c>
      <c r="C6" s="704">
        <v>336</v>
      </c>
      <c r="D6" s="156">
        <v>10</v>
      </c>
      <c r="E6" s="704">
        <v>16</v>
      </c>
      <c r="F6" s="156">
        <v>-6</v>
      </c>
      <c r="G6" s="704">
        <v>22</v>
      </c>
      <c r="H6" s="156">
        <v>118.07</v>
      </c>
      <c r="I6" s="704">
        <v>675</v>
      </c>
      <c r="J6" s="156">
        <v>63.94</v>
      </c>
      <c r="K6" s="704">
        <v>210</v>
      </c>
      <c r="L6" s="156">
        <v>502.92</v>
      </c>
      <c r="M6" s="704">
        <v>704</v>
      </c>
      <c r="N6" s="156">
        <v>12</v>
      </c>
      <c r="O6" s="704">
        <v>30</v>
      </c>
      <c r="P6" s="156">
        <v>247.14</v>
      </c>
      <c r="Q6" s="704">
        <v>126</v>
      </c>
      <c r="R6" s="156">
        <v>58</v>
      </c>
      <c r="S6" s="704">
        <v>215</v>
      </c>
      <c r="T6" s="156">
        <v>42</v>
      </c>
      <c r="U6" s="704">
        <v>71</v>
      </c>
      <c r="V6" s="156">
        <v>70</v>
      </c>
      <c r="W6" s="704">
        <v>430</v>
      </c>
      <c r="X6" s="156">
        <v>17125</v>
      </c>
      <c r="Y6" s="704"/>
      <c r="Z6" s="243">
        <v>70.17</v>
      </c>
      <c r="AA6" s="704">
        <v>72</v>
      </c>
      <c r="AB6" s="156">
        <v>338.18</v>
      </c>
      <c r="AC6" s="704">
        <v>612</v>
      </c>
      <c r="AD6" s="156">
        <v>273.48</v>
      </c>
      <c r="AE6" s="704">
        <v>447</v>
      </c>
      <c r="AF6" s="156">
        <v>837</v>
      </c>
      <c r="AG6" s="704">
        <v>1228</v>
      </c>
      <c r="AH6" s="156">
        <v>60.63</v>
      </c>
      <c r="AI6" s="704">
        <v>297</v>
      </c>
      <c r="AJ6" s="156">
        <v>12</v>
      </c>
      <c r="AK6" s="704">
        <v>234</v>
      </c>
      <c r="AL6" s="470"/>
      <c r="AM6" s="704"/>
      <c r="AN6" s="718">
        <v>1618.61</v>
      </c>
      <c r="AO6" s="714">
        <v>2973</v>
      </c>
      <c r="AP6" s="471">
        <v>654.67999999999995</v>
      </c>
      <c r="AQ6" s="704">
        <v>833</v>
      </c>
      <c r="AR6" s="155">
        <v>67.459999999999994</v>
      </c>
      <c r="AS6" s="704">
        <v>146</v>
      </c>
      <c r="AT6" s="156">
        <v>488.45</v>
      </c>
      <c r="AU6" s="704">
        <v>763</v>
      </c>
      <c r="AV6" s="489">
        <f t="shared" ref="AV6:AV37" si="0">SUM(B6+D6+F6+H6+J6+L6+N6+P6+R6+T6+V6+X6+Z6+AB6+AD6+AF6+AH6+AJ6+AL6+AN6+AP6+AR6+AT6)</f>
        <v>22861.86</v>
      </c>
      <c r="AW6" s="489">
        <f t="shared" ref="AW6:AW37" si="1">SUM(C6+E6+G6+I6+K6+M6+O6+Q6+S6+U6+W6+Y6+AA6+AC6+AE6+AG6+AI6+AK6+AM6+AO6+AQ6+AS6+AU6)</f>
        <v>10440</v>
      </c>
      <c r="AX6" s="155"/>
      <c r="AY6" s="704"/>
      <c r="AZ6" s="157">
        <f t="shared" ref="AZ6:AZ37" si="2">AV6+AX6</f>
        <v>22861.86</v>
      </c>
      <c r="BA6" s="994">
        <f t="shared" ref="BA6:BA37" si="3">AW6+AY6</f>
        <v>10440</v>
      </c>
    </row>
    <row r="7" spans="1:53">
      <c r="A7" s="151" t="s">
        <v>77</v>
      </c>
      <c r="B7" s="152">
        <v>486.74</v>
      </c>
      <c r="C7" s="704">
        <v>277</v>
      </c>
      <c r="D7" s="156">
        <v>0</v>
      </c>
      <c r="E7" s="704">
        <v>3</v>
      </c>
      <c r="F7" s="156">
        <v>4</v>
      </c>
      <c r="G7" s="704">
        <v>5</v>
      </c>
      <c r="H7" s="156">
        <v>112.3</v>
      </c>
      <c r="I7" s="704">
        <v>140</v>
      </c>
      <c r="J7" s="156">
        <v>11.45</v>
      </c>
      <c r="K7" s="704">
        <v>75</v>
      </c>
      <c r="L7" s="156">
        <v>328.59</v>
      </c>
      <c r="M7" s="704">
        <v>347</v>
      </c>
      <c r="N7" s="156">
        <v>46</v>
      </c>
      <c r="O7" s="704">
        <v>14</v>
      </c>
      <c r="P7" s="156">
        <v>225.95</v>
      </c>
      <c r="Q7" s="704">
        <v>112</v>
      </c>
      <c r="R7" s="156">
        <v>1624</v>
      </c>
      <c r="S7" s="704">
        <v>1595</v>
      </c>
      <c r="T7" s="156">
        <v>492</v>
      </c>
      <c r="U7" s="704">
        <v>424</v>
      </c>
      <c r="V7" s="156">
        <v>4262</v>
      </c>
      <c r="W7" s="704">
        <v>5631</v>
      </c>
      <c r="X7" s="156">
        <v>15715</v>
      </c>
      <c r="Y7" s="704"/>
      <c r="Z7" s="243">
        <v>6.21</v>
      </c>
      <c r="AA7" s="704">
        <v>11</v>
      </c>
      <c r="AB7" s="156">
        <v>318.36</v>
      </c>
      <c r="AC7" s="704">
        <v>859.84</v>
      </c>
      <c r="AD7" s="156"/>
      <c r="AE7" s="704">
        <v>-2</v>
      </c>
      <c r="AF7" s="156">
        <v>4587.26</v>
      </c>
      <c r="AG7" s="704">
        <v>2759</v>
      </c>
      <c r="AH7" s="156">
        <v>30.91</v>
      </c>
      <c r="AI7" s="704">
        <v>78</v>
      </c>
      <c r="AJ7" s="156">
        <v>366</v>
      </c>
      <c r="AK7" s="704">
        <v>284</v>
      </c>
      <c r="AL7" s="470"/>
      <c r="AM7" s="704"/>
      <c r="AN7" s="718">
        <v>855.64</v>
      </c>
      <c r="AO7" s="714">
        <v>670</v>
      </c>
      <c r="AP7" s="471">
        <v>121.94</v>
      </c>
      <c r="AQ7" s="704">
        <v>110</v>
      </c>
      <c r="AR7" s="155">
        <v>301.07</v>
      </c>
      <c r="AS7" s="704">
        <v>374</v>
      </c>
      <c r="AT7" s="156">
        <v>176.27</v>
      </c>
      <c r="AU7" s="704">
        <v>2138</v>
      </c>
      <c r="AV7" s="489">
        <f t="shared" si="0"/>
        <v>30071.69</v>
      </c>
      <c r="AW7" s="489">
        <f t="shared" si="1"/>
        <v>15904.84</v>
      </c>
      <c r="AX7" s="155"/>
      <c r="AY7" s="704"/>
      <c r="AZ7" s="157">
        <f t="shared" si="2"/>
        <v>30071.69</v>
      </c>
      <c r="BA7" s="994">
        <f t="shared" si="3"/>
        <v>15904.84</v>
      </c>
    </row>
    <row r="8" spans="1:53">
      <c r="A8" s="151" t="s">
        <v>78</v>
      </c>
      <c r="B8" s="152">
        <v>2537.16</v>
      </c>
      <c r="C8" s="704">
        <v>2610</v>
      </c>
      <c r="D8" s="156">
        <v>409</v>
      </c>
      <c r="E8" s="704">
        <v>109</v>
      </c>
      <c r="F8" s="156">
        <v>1423</v>
      </c>
      <c r="G8" s="704">
        <v>1390</v>
      </c>
      <c r="H8" s="156">
        <v>1102.1500000000001</v>
      </c>
      <c r="I8" s="704">
        <v>1655</v>
      </c>
      <c r="J8" s="156">
        <v>1275.52</v>
      </c>
      <c r="K8" s="704">
        <v>1047</v>
      </c>
      <c r="L8" s="156">
        <v>1859.98</v>
      </c>
      <c r="M8" s="704">
        <v>472</v>
      </c>
      <c r="N8" s="156">
        <v>898</v>
      </c>
      <c r="O8" s="704">
        <v>967</v>
      </c>
      <c r="P8" s="156">
        <v>1213.2</v>
      </c>
      <c r="Q8" s="704">
        <v>813</v>
      </c>
      <c r="R8" s="156">
        <v>328</v>
      </c>
      <c r="S8" s="704">
        <v>442</v>
      </c>
      <c r="T8" s="156">
        <v>1112</v>
      </c>
      <c r="U8" s="704">
        <v>1011</v>
      </c>
      <c r="V8" s="156">
        <v>5305</v>
      </c>
      <c r="W8" s="704">
        <v>5296</v>
      </c>
      <c r="X8" s="156">
        <v>797063</v>
      </c>
      <c r="Y8" s="704"/>
      <c r="Z8" s="243">
        <v>404.48</v>
      </c>
      <c r="AA8" s="704">
        <v>411</v>
      </c>
      <c r="AB8" s="156">
        <v>1052.52</v>
      </c>
      <c r="AC8" s="704">
        <v>1113.8</v>
      </c>
      <c r="AD8" s="156">
        <v>2526.71</v>
      </c>
      <c r="AE8" s="704">
        <v>2630</v>
      </c>
      <c r="AF8" s="156">
        <v>4200.1000000000004</v>
      </c>
      <c r="AG8" s="704">
        <v>3911</v>
      </c>
      <c r="AH8" s="156">
        <v>1010</v>
      </c>
      <c r="AI8" s="704">
        <v>1094</v>
      </c>
      <c r="AJ8" s="156">
        <v>2254</v>
      </c>
      <c r="AK8" s="704">
        <v>2406</v>
      </c>
      <c r="AL8" s="470"/>
      <c r="AM8" s="704"/>
      <c r="AN8" s="718">
        <v>4380.96</v>
      </c>
      <c r="AO8" s="714">
        <v>4524</v>
      </c>
      <c r="AP8" s="471">
        <v>821.69</v>
      </c>
      <c r="AQ8" s="704">
        <v>708</v>
      </c>
      <c r="AR8" s="155">
        <v>740.26</v>
      </c>
      <c r="AS8" s="704">
        <v>742</v>
      </c>
      <c r="AT8" s="156">
        <v>1447.59</v>
      </c>
      <c r="AU8" s="704">
        <v>1528</v>
      </c>
      <c r="AV8" s="489">
        <f t="shared" si="0"/>
        <v>833364.31999999983</v>
      </c>
      <c r="AW8" s="489">
        <f t="shared" si="1"/>
        <v>34879.800000000003</v>
      </c>
      <c r="AX8" s="155"/>
      <c r="AY8" s="704"/>
      <c r="AZ8" s="157">
        <f t="shared" si="2"/>
        <v>833364.31999999983</v>
      </c>
      <c r="BA8" s="994">
        <f t="shared" si="3"/>
        <v>34879.800000000003</v>
      </c>
    </row>
    <row r="9" spans="1:53">
      <c r="A9" s="151" t="s">
        <v>79</v>
      </c>
      <c r="B9" s="152">
        <v>1225.8499999999999</v>
      </c>
      <c r="C9" s="704">
        <v>1259</v>
      </c>
      <c r="D9" s="156">
        <v>6</v>
      </c>
      <c r="E9" s="704">
        <v>1</v>
      </c>
      <c r="F9" s="156">
        <v>566</v>
      </c>
      <c r="G9" s="704">
        <v>632</v>
      </c>
      <c r="H9" s="156">
        <v>1304.45</v>
      </c>
      <c r="I9" s="704">
        <v>356</v>
      </c>
      <c r="J9" s="156">
        <v>114.11</v>
      </c>
      <c r="K9" s="704">
        <v>161</v>
      </c>
      <c r="L9" s="156">
        <v>104.92</v>
      </c>
      <c r="M9" s="704">
        <v>88</v>
      </c>
      <c r="N9" s="156">
        <v>315</v>
      </c>
      <c r="O9" s="704">
        <v>334</v>
      </c>
      <c r="P9" s="156">
        <v>450.68</v>
      </c>
      <c r="Q9" s="704">
        <v>469</v>
      </c>
      <c r="R9" s="156">
        <v>84</v>
      </c>
      <c r="S9" s="704">
        <v>82</v>
      </c>
      <c r="T9" s="156">
        <v>458</v>
      </c>
      <c r="U9" s="704">
        <v>467</v>
      </c>
      <c r="V9" s="156">
        <v>78</v>
      </c>
      <c r="W9" s="704">
        <v>82</v>
      </c>
      <c r="X9" s="156">
        <v>167762</v>
      </c>
      <c r="Y9" s="704"/>
      <c r="Z9" s="243">
        <v>194.38</v>
      </c>
      <c r="AA9" s="704">
        <v>32</v>
      </c>
      <c r="AB9" s="156">
        <v>146.38</v>
      </c>
      <c r="AC9" s="704">
        <v>171.6</v>
      </c>
      <c r="AD9" s="156">
        <v>1061.8</v>
      </c>
      <c r="AE9" s="704">
        <v>805</v>
      </c>
      <c r="AF9" s="156">
        <v>1706.88</v>
      </c>
      <c r="AG9" s="704">
        <v>1654</v>
      </c>
      <c r="AH9" s="156">
        <v>124.95</v>
      </c>
      <c r="AI9" s="704">
        <v>133</v>
      </c>
      <c r="AJ9" s="156">
        <f>1155+72</f>
        <v>1227</v>
      </c>
      <c r="AK9" s="704">
        <f>1264+112</f>
        <v>1376</v>
      </c>
      <c r="AL9" s="470"/>
      <c r="AM9" s="704"/>
      <c r="AN9" s="718">
        <v>3254.13</v>
      </c>
      <c r="AO9" s="714">
        <v>4149</v>
      </c>
      <c r="AP9" s="471">
        <v>5.39</v>
      </c>
      <c r="AQ9" s="704">
        <v>11</v>
      </c>
      <c r="AR9" s="155">
        <v>680.8</v>
      </c>
      <c r="AS9" s="704">
        <v>681</v>
      </c>
      <c r="AT9" s="156">
        <v>972.61</v>
      </c>
      <c r="AU9" s="704">
        <v>961</v>
      </c>
      <c r="AV9" s="489">
        <f t="shared" si="0"/>
        <v>181843.33000000002</v>
      </c>
      <c r="AW9" s="489">
        <f t="shared" si="1"/>
        <v>13904.6</v>
      </c>
      <c r="AX9" s="155"/>
      <c r="AY9" s="704"/>
      <c r="AZ9" s="157">
        <f t="shared" si="2"/>
        <v>181843.33000000002</v>
      </c>
      <c r="BA9" s="994">
        <f t="shared" si="3"/>
        <v>13904.6</v>
      </c>
    </row>
    <row r="10" spans="1:53">
      <c r="A10" s="151" t="s">
        <v>80</v>
      </c>
      <c r="B10" s="152">
        <v>88.17</v>
      </c>
      <c r="C10" s="704">
        <v>151</v>
      </c>
      <c r="D10" s="156">
        <v>18</v>
      </c>
      <c r="E10" s="704">
        <v>17</v>
      </c>
      <c r="F10" s="156">
        <v>53</v>
      </c>
      <c r="G10" s="704">
        <v>71</v>
      </c>
      <c r="H10" s="156">
        <v>475.01</v>
      </c>
      <c r="I10" s="704">
        <v>131</v>
      </c>
      <c r="J10" s="156">
        <v>134.63999999999999</v>
      </c>
      <c r="K10" s="704">
        <v>177</v>
      </c>
      <c r="L10" s="156">
        <v>127.5</v>
      </c>
      <c r="M10" s="704">
        <v>128</v>
      </c>
      <c r="N10" s="156">
        <v>14</v>
      </c>
      <c r="O10" s="704">
        <v>15</v>
      </c>
      <c r="P10" s="156">
        <v>53.5</v>
      </c>
      <c r="Q10" s="704">
        <v>77</v>
      </c>
      <c r="R10" s="156">
        <v>156</v>
      </c>
      <c r="S10" s="704">
        <v>138</v>
      </c>
      <c r="T10" s="156">
        <v>32</v>
      </c>
      <c r="U10" s="704">
        <v>35</v>
      </c>
      <c r="V10" s="156">
        <v>397</v>
      </c>
      <c r="W10" s="704">
        <v>478</v>
      </c>
      <c r="X10" s="156">
        <v>12876</v>
      </c>
      <c r="Y10" s="704"/>
      <c r="Z10" s="156">
        <v>10.36</v>
      </c>
      <c r="AA10" s="704">
        <v>95</v>
      </c>
      <c r="AB10" s="156">
        <v>67</v>
      </c>
      <c r="AC10" s="704">
        <v>117</v>
      </c>
      <c r="AD10" s="156">
        <v>317.64</v>
      </c>
      <c r="AE10" s="704">
        <v>232</v>
      </c>
      <c r="AF10" s="156">
        <v>339.01</v>
      </c>
      <c r="AG10" s="704">
        <v>262</v>
      </c>
      <c r="AH10" s="156">
        <v>165.49</v>
      </c>
      <c r="AI10" s="704">
        <v>164</v>
      </c>
      <c r="AJ10" s="156">
        <v>111</v>
      </c>
      <c r="AK10" s="704">
        <v>199</v>
      </c>
      <c r="AL10" s="470"/>
      <c r="AM10" s="704"/>
      <c r="AN10" s="718">
        <v>199.23</v>
      </c>
      <c r="AO10" s="714">
        <v>503</v>
      </c>
      <c r="AP10" s="471">
        <v>107.13</v>
      </c>
      <c r="AQ10" s="704">
        <v>154</v>
      </c>
      <c r="AR10" s="155">
        <v>42.65</v>
      </c>
      <c r="AS10" s="704">
        <v>64</v>
      </c>
      <c r="AT10" s="156">
        <v>175.72</v>
      </c>
      <c r="AU10" s="704">
        <v>201</v>
      </c>
      <c r="AV10" s="489">
        <f t="shared" si="0"/>
        <v>15960.049999999997</v>
      </c>
      <c r="AW10" s="489">
        <f t="shared" si="1"/>
        <v>3409</v>
      </c>
      <c r="AX10" s="156"/>
      <c r="AY10" s="704"/>
      <c r="AZ10" s="157">
        <f t="shared" si="2"/>
        <v>15960.049999999997</v>
      </c>
      <c r="BA10" s="994">
        <f t="shared" si="3"/>
        <v>3409</v>
      </c>
    </row>
    <row r="11" spans="1:53">
      <c r="A11" s="151" t="s">
        <v>81</v>
      </c>
      <c r="B11" s="152">
        <v>393.59</v>
      </c>
      <c r="C11" s="704">
        <v>482</v>
      </c>
      <c r="D11" s="156">
        <v>57</v>
      </c>
      <c r="E11" s="704">
        <v>52</v>
      </c>
      <c r="F11" s="156">
        <v>223</v>
      </c>
      <c r="G11" s="704">
        <v>226</v>
      </c>
      <c r="H11" s="156">
        <v>108.86</v>
      </c>
      <c r="I11" s="704">
        <v>2284</v>
      </c>
      <c r="J11" s="156">
        <v>121.55</v>
      </c>
      <c r="K11" s="704">
        <v>193</v>
      </c>
      <c r="L11" s="156">
        <v>1934.83</v>
      </c>
      <c r="M11" s="704">
        <v>1561</v>
      </c>
      <c r="N11" s="156">
        <v>137</v>
      </c>
      <c r="O11" s="704">
        <v>134</v>
      </c>
      <c r="P11" s="156">
        <v>208.11</v>
      </c>
      <c r="Q11" s="704">
        <v>116</v>
      </c>
      <c r="R11" s="156">
        <v>11</v>
      </c>
      <c r="S11" s="704">
        <v>393</v>
      </c>
      <c r="T11" s="156">
        <v>235</v>
      </c>
      <c r="U11" s="704">
        <v>195</v>
      </c>
      <c r="V11" s="156">
        <v>854</v>
      </c>
      <c r="W11" s="704">
        <v>924</v>
      </c>
      <c r="X11" s="156">
        <v>550350</v>
      </c>
      <c r="Y11" s="704"/>
      <c r="Z11" s="156">
        <v>40.770000000000003</v>
      </c>
      <c r="AA11" s="704">
        <v>202</v>
      </c>
      <c r="AB11" s="156">
        <v>639</v>
      </c>
      <c r="AC11" s="704">
        <v>582</v>
      </c>
      <c r="AD11" s="517">
        <v>478.67</v>
      </c>
      <c r="AE11" s="704">
        <v>579</v>
      </c>
      <c r="AF11" s="156">
        <v>2887.34</v>
      </c>
      <c r="AG11" s="704">
        <v>2909</v>
      </c>
      <c r="AH11" s="156">
        <v>715.62</v>
      </c>
      <c r="AI11" s="704">
        <v>508</v>
      </c>
      <c r="AJ11" s="156">
        <v>574</v>
      </c>
      <c r="AK11" s="704">
        <v>463</v>
      </c>
      <c r="AL11" s="470"/>
      <c r="AM11" s="704"/>
      <c r="AN11" s="718">
        <v>1749.48</v>
      </c>
      <c r="AO11" s="714">
        <v>2786</v>
      </c>
      <c r="AP11" s="471">
        <v>368.85</v>
      </c>
      <c r="AQ11" s="704">
        <v>356</v>
      </c>
      <c r="AR11" s="155">
        <v>112.31</v>
      </c>
      <c r="AS11" s="704">
        <v>139</v>
      </c>
      <c r="AT11" s="156">
        <v>985.28</v>
      </c>
      <c r="AU11" s="704">
        <v>1181</v>
      </c>
      <c r="AV11" s="489">
        <f t="shared" si="0"/>
        <v>563185.26</v>
      </c>
      <c r="AW11" s="489">
        <f t="shared" si="1"/>
        <v>16265</v>
      </c>
      <c r="AX11" s="155"/>
      <c r="AY11" s="704"/>
      <c r="AZ11" s="157">
        <f t="shared" si="2"/>
        <v>563185.26</v>
      </c>
      <c r="BA11" s="994">
        <f t="shared" si="3"/>
        <v>16265</v>
      </c>
    </row>
    <row r="12" spans="1:53">
      <c r="A12" s="151" t="s">
        <v>82</v>
      </c>
      <c r="B12" s="152">
        <v>445.96</v>
      </c>
      <c r="C12" s="704">
        <v>446</v>
      </c>
      <c r="D12" s="156">
        <v>143</v>
      </c>
      <c r="E12" s="704">
        <v>152</v>
      </c>
      <c r="F12" s="156">
        <v>258</v>
      </c>
      <c r="G12" s="704">
        <v>371</v>
      </c>
      <c r="H12" s="156">
        <v>2390.61</v>
      </c>
      <c r="I12" s="704">
        <v>4031</v>
      </c>
      <c r="J12" s="156">
        <v>1423.53</v>
      </c>
      <c r="K12" s="704">
        <v>1764</v>
      </c>
      <c r="L12" s="156">
        <v>567.34</v>
      </c>
      <c r="M12" s="704">
        <v>839</v>
      </c>
      <c r="N12" s="156">
        <v>732</v>
      </c>
      <c r="O12" s="704">
        <v>445</v>
      </c>
      <c r="P12" s="156">
        <v>508.77</v>
      </c>
      <c r="Q12" s="704">
        <v>539</v>
      </c>
      <c r="R12" s="156">
        <v>1989</v>
      </c>
      <c r="S12" s="704">
        <v>2914</v>
      </c>
      <c r="T12" s="156">
        <v>462</v>
      </c>
      <c r="U12" s="704">
        <v>333</v>
      </c>
      <c r="V12" s="156">
        <v>8306</v>
      </c>
      <c r="W12" s="704">
        <v>8921</v>
      </c>
      <c r="X12" s="156">
        <v>591279</v>
      </c>
      <c r="Y12" s="704"/>
      <c r="Z12" s="156">
        <v>116.91</v>
      </c>
      <c r="AA12" s="704">
        <v>1496</v>
      </c>
      <c r="AB12" s="156">
        <v>504</v>
      </c>
      <c r="AC12" s="704">
        <v>454.8</v>
      </c>
      <c r="AD12" s="156">
        <v>841.01</v>
      </c>
      <c r="AE12" s="704">
        <v>1512</v>
      </c>
      <c r="AF12" s="156">
        <v>1512.82</v>
      </c>
      <c r="AG12" s="704">
        <v>1713</v>
      </c>
      <c r="AH12" s="156">
        <v>847.28</v>
      </c>
      <c r="AI12" s="704">
        <v>744</v>
      </c>
      <c r="AJ12" s="156">
        <v>678</v>
      </c>
      <c r="AK12" s="704">
        <v>1181</v>
      </c>
      <c r="AL12" s="470"/>
      <c r="AM12" s="704"/>
      <c r="AN12" s="718">
        <v>6702.47</v>
      </c>
      <c r="AO12" s="714">
        <v>6106</v>
      </c>
      <c r="AP12" s="471">
        <v>1032.32</v>
      </c>
      <c r="AQ12" s="704">
        <v>1419</v>
      </c>
      <c r="AR12" s="155">
        <v>388.74</v>
      </c>
      <c r="AS12" s="704">
        <v>428</v>
      </c>
      <c r="AT12" s="156">
        <v>9286.9</v>
      </c>
      <c r="AU12" s="704">
        <v>13949</v>
      </c>
      <c r="AV12" s="489">
        <f t="shared" si="0"/>
        <v>630415.65999999992</v>
      </c>
      <c r="AW12" s="489">
        <f t="shared" si="1"/>
        <v>49757.8</v>
      </c>
      <c r="AX12" s="155"/>
      <c r="AY12" s="704"/>
      <c r="AZ12" s="157">
        <f t="shared" si="2"/>
        <v>630415.65999999992</v>
      </c>
      <c r="BA12" s="994">
        <f t="shared" si="3"/>
        <v>49757.8</v>
      </c>
    </row>
    <row r="13" spans="1:53">
      <c r="A13" s="151" t="s">
        <v>83</v>
      </c>
      <c r="B13" s="152">
        <v>507.91</v>
      </c>
      <c r="C13" s="704">
        <v>679</v>
      </c>
      <c r="D13" s="156">
        <v>227</v>
      </c>
      <c r="E13" s="704">
        <v>189</v>
      </c>
      <c r="F13" s="156">
        <v>12</v>
      </c>
      <c r="G13" s="704">
        <v>38</v>
      </c>
      <c r="H13" s="156">
        <v>4825.08</v>
      </c>
      <c r="I13" s="704">
        <v>838</v>
      </c>
      <c r="J13" s="156">
        <v>118.22</v>
      </c>
      <c r="K13" s="704">
        <v>199</v>
      </c>
      <c r="L13" s="156">
        <v>259.85000000000002</v>
      </c>
      <c r="M13" s="704">
        <v>251</v>
      </c>
      <c r="N13" s="156">
        <v>14</v>
      </c>
      <c r="O13" s="704">
        <v>38</v>
      </c>
      <c r="P13" s="156">
        <v>148.96</v>
      </c>
      <c r="Q13" s="704">
        <v>102</v>
      </c>
      <c r="R13" s="156">
        <v>231</v>
      </c>
      <c r="S13" s="704">
        <v>186</v>
      </c>
      <c r="T13" s="156">
        <v>53</v>
      </c>
      <c r="U13" s="704">
        <v>48</v>
      </c>
      <c r="V13" s="156">
        <v>1023</v>
      </c>
      <c r="W13" s="704">
        <v>1205</v>
      </c>
      <c r="X13" s="156">
        <v>133511</v>
      </c>
      <c r="Y13" s="704"/>
      <c r="Z13" s="156">
        <v>1062.02</v>
      </c>
      <c r="AA13" s="704">
        <v>40</v>
      </c>
      <c r="AB13" s="156">
        <v>145.35</v>
      </c>
      <c r="AC13" s="704">
        <v>111.5</v>
      </c>
      <c r="AD13" s="156">
        <v>559.73</v>
      </c>
      <c r="AE13" s="704">
        <v>436</v>
      </c>
      <c r="AF13" s="156">
        <v>1851.13</v>
      </c>
      <c r="AG13" s="704">
        <v>2415</v>
      </c>
      <c r="AH13" s="156">
        <v>420.75</v>
      </c>
      <c r="AI13" s="704">
        <v>392</v>
      </c>
      <c r="AJ13" s="156">
        <v>65</v>
      </c>
      <c r="AK13" s="704">
        <v>64</v>
      </c>
      <c r="AL13" s="470"/>
      <c r="AM13" s="704"/>
      <c r="AN13" s="718">
        <v>1780.48</v>
      </c>
      <c r="AO13" s="714">
        <v>1944</v>
      </c>
      <c r="AP13" s="471">
        <v>23.78</v>
      </c>
      <c r="AQ13" s="704">
        <v>21</v>
      </c>
      <c r="AR13" s="155">
        <v>62.13</v>
      </c>
      <c r="AS13" s="704">
        <v>131</v>
      </c>
      <c r="AT13" s="156">
        <v>1402.98</v>
      </c>
      <c r="AU13" s="704">
        <v>1953</v>
      </c>
      <c r="AV13" s="489">
        <f t="shared" si="0"/>
        <v>148304.37000000002</v>
      </c>
      <c r="AW13" s="489">
        <f t="shared" si="1"/>
        <v>11280.5</v>
      </c>
      <c r="AX13" s="155"/>
      <c r="AY13" s="704"/>
      <c r="AZ13" s="157">
        <f t="shared" si="2"/>
        <v>148304.37000000002</v>
      </c>
      <c r="BA13" s="994">
        <f t="shared" si="3"/>
        <v>11280.5</v>
      </c>
    </row>
    <row r="14" spans="1:53">
      <c r="A14" s="151" t="s">
        <v>84</v>
      </c>
      <c r="B14" s="152"/>
      <c r="C14" s="704"/>
      <c r="D14" s="156"/>
      <c r="E14" s="704"/>
      <c r="F14" s="156"/>
      <c r="G14" s="704"/>
      <c r="H14" s="156">
        <v>809.9</v>
      </c>
      <c r="I14" s="704"/>
      <c r="J14" s="156"/>
      <c r="K14" s="704"/>
      <c r="L14" s="156"/>
      <c r="M14" s="704"/>
      <c r="N14" s="156"/>
      <c r="O14" s="704"/>
      <c r="P14" s="156"/>
      <c r="Q14" s="704"/>
      <c r="R14" s="156"/>
      <c r="S14" s="704"/>
      <c r="T14" s="156"/>
      <c r="U14" s="704"/>
      <c r="V14" s="156"/>
      <c r="W14" s="704"/>
      <c r="X14" s="156"/>
      <c r="Y14" s="704"/>
      <c r="Z14" s="156">
        <v>18.43</v>
      </c>
      <c r="AA14" s="704"/>
      <c r="AB14" s="156"/>
      <c r="AC14" s="704"/>
      <c r="AD14" s="156"/>
      <c r="AE14" s="704"/>
      <c r="AF14" s="156"/>
      <c r="AG14" s="704"/>
      <c r="AH14" s="156"/>
      <c r="AI14" s="704"/>
      <c r="AJ14" s="156"/>
      <c r="AK14" s="704"/>
      <c r="AL14" s="470"/>
      <c r="AM14" s="704"/>
      <c r="AN14" s="156"/>
      <c r="AO14" s="714"/>
      <c r="AP14" s="471"/>
      <c r="AQ14" s="704"/>
      <c r="AR14" s="155"/>
      <c r="AS14" s="704"/>
      <c r="AT14" s="156"/>
      <c r="AU14" s="704"/>
      <c r="AV14" s="489">
        <f t="shared" si="0"/>
        <v>828.32999999999993</v>
      </c>
      <c r="AW14" s="489">
        <f t="shared" si="1"/>
        <v>0</v>
      </c>
      <c r="AX14" s="155"/>
      <c r="AY14" s="704"/>
      <c r="AZ14" s="157">
        <f t="shared" si="2"/>
        <v>828.32999999999993</v>
      </c>
      <c r="BA14" s="994">
        <f t="shared" si="3"/>
        <v>0</v>
      </c>
    </row>
    <row r="15" spans="1:53">
      <c r="A15" s="151" t="s">
        <v>85</v>
      </c>
      <c r="B15" s="152">
        <v>41.98</v>
      </c>
      <c r="C15" s="704">
        <v>47</v>
      </c>
      <c r="D15" s="156">
        <v>19</v>
      </c>
      <c r="E15" s="704">
        <v>19</v>
      </c>
      <c r="F15" s="156">
        <v>27</v>
      </c>
      <c r="G15" s="704">
        <v>26</v>
      </c>
      <c r="H15" s="156">
        <v>47.5</v>
      </c>
      <c r="I15" s="704">
        <v>53</v>
      </c>
      <c r="J15" s="156">
        <v>31.79</v>
      </c>
      <c r="K15" s="704">
        <v>31</v>
      </c>
      <c r="L15" s="156">
        <v>12.5</v>
      </c>
      <c r="M15" s="704">
        <v>12</v>
      </c>
      <c r="N15" s="156">
        <v>18</v>
      </c>
      <c r="O15" s="704">
        <v>18</v>
      </c>
      <c r="P15" s="156">
        <v>14</v>
      </c>
      <c r="Q15" s="704">
        <v>14</v>
      </c>
      <c r="R15" s="156">
        <v>22</v>
      </c>
      <c r="S15" s="704">
        <v>26</v>
      </c>
      <c r="T15" s="156">
        <v>19</v>
      </c>
      <c r="U15" s="704">
        <v>19</v>
      </c>
      <c r="V15" s="156">
        <v>48</v>
      </c>
      <c r="W15" s="704">
        <v>48</v>
      </c>
      <c r="X15" s="156">
        <v>10684</v>
      </c>
      <c r="Y15" s="704"/>
      <c r="Z15" s="243">
        <v>22.05</v>
      </c>
      <c r="AA15" s="704">
        <v>20</v>
      </c>
      <c r="AB15" s="156">
        <v>17.45</v>
      </c>
      <c r="AC15" s="704">
        <v>18.399999999999999</v>
      </c>
      <c r="AD15" s="517">
        <v>39.049999999999997</v>
      </c>
      <c r="AE15" s="704">
        <v>39</v>
      </c>
      <c r="AF15" s="156">
        <v>45.14</v>
      </c>
      <c r="AG15" s="704">
        <v>49</v>
      </c>
      <c r="AH15" s="156">
        <v>35</v>
      </c>
      <c r="AI15" s="704">
        <v>38</v>
      </c>
      <c r="AJ15" s="156">
        <v>33</v>
      </c>
      <c r="AK15" s="704">
        <v>39</v>
      </c>
      <c r="AL15" s="470"/>
      <c r="AM15" s="704"/>
      <c r="AN15" s="718">
        <v>35</v>
      </c>
      <c r="AO15" s="714">
        <v>44</v>
      </c>
      <c r="AP15" s="471">
        <v>8.5</v>
      </c>
      <c r="AQ15" s="704">
        <v>8</v>
      </c>
      <c r="AR15" s="155">
        <v>24.86</v>
      </c>
      <c r="AS15" s="704">
        <v>19</v>
      </c>
      <c r="AT15" s="156">
        <v>38</v>
      </c>
      <c r="AU15" s="704">
        <v>48</v>
      </c>
      <c r="AV15" s="489">
        <f t="shared" si="0"/>
        <v>11282.82</v>
      </c>
      <c r="AW15" s="489">
        <f t="shared" si="1"/>
        <v>635.4</v>
      </c>
      <c r="AX15" s="156"/>
      <c r="AY15" s="704"/>
      <c r="AZ15" s="157">
        <f t="shared" si="2"/>
        <v>11282.82</v>
      </c>
      <c r="BA15" s="994">
        <f t="shared" si="3"/>
        <v>635.4</v>
      </c>
    </row>
    <row r="16" spans="1:53">
      <c r="A16" s="151" t="s">
        <v>86</v>
      </c>
      <c r="B16" s="152"/>
      <c r="C16" s="704"/>
      <c r="D16" s="156"/>
      <c r="E16" s="704"/>
      <c r="F16" s="156"/>
      <c r="G16" s="704"/>
      <c r="H16" s="156"/>
      <c r="I16" s="704"/>
      <c r="J16" s="156"/>
      <c r="K16" s="704"/>
      <c r="L16" s="156"/>
      <c r="M16" s="704"/>
      <c r="N16" s="156"/>
      <c r="O16" s="704"/>
      <c r="P16" s="156"/>
      <c r="Q16" s="704"/>
      <c r="R16" s="156"/>
      <c r="S16" s="704"/>
      <c r="T16" s="156"/>
      <c r="U16" s="704"/>
      <c r="V16" s="156"/>
      <c r="W16" s="704"/>
      <c r="X16" s="156"/>
      <c r="Y16" s="704"/>
      <c r="Z16" s="243"/>
      <c r="AA16" s="704"/>
      <c r="AB16" s="156"/>
      <c r="AC16" s="704"/>
      <c r="AD16" s="156"/>
      <c r="AE16" s="704"/>
      <c r="AF16" s="156"/>
      <c r="AG16" s="704"/>
      <c r="AH16" s="156"/>
      <c r="AI16" s="704"/>
      <c r="AJ16" s="156"/>
      <c r="AK16" s="704"/>
      <c r="AL16" s="470"/>
      <c r="AM16" s="704"/>
      <c r="AN16" s="718"/>
      <c r="AO16" s="714"/>
      <c r="AP16" s="471"/>
      <c r="AQ16" s="704"/>
      <c r="AR16" s="155"/>
      <c r="AS16" s="704"/>
      <c r="AT16" s="156"/>
      <c r="AU16" s="704"/>
      <c r="AV16" s="489">
        <f t="shared" si="0"/>
        <v>0</v>
      </c>
      <c r="AW16" s="489">
        <f t="shared" si="1"/>
        <v>0</v>
      </c>
      <c r="AX16" s="156"/>
      <c r="AY16" s="704"/>
      <c r="AZ16" s="157">
        <f t="shared" si="2"/>
        <v>0</v>
      </c>
      <c r="BA16" s="994">
        <f t="shared" si="3"/>
        <v>0</v>
      </c>
    </row>
    <row r="17" spans="1:53">
      <c r="A17" s="151" t="s">
        <v>87</v>
      </c>
      <c r="B17" s="152"/>
      <c r="C17" s="704"/>
      <c r="D17" s="156"/>
      <c r="E17" s="704"/>
      <c r="F17" s="156"/>
      <c r="G17" s="704"/>
      <c r="H17" s="156"/>
      <c r="I17" s="704"/>
      <c r="J17" s="156">
        <v>0.75</v>
      </c>
      <c r="K17" s="704"/>
      <c r="L17" s="156"/>
      <c r="M17" s="704"/>
      <c r="N17" s="156"/>
      <c r="O17" s="704"/>
      <c r="P17" s="156"/>
      <c r="Q17" s="704"/>
      <c r="R17" s="156"/>
      <c r="S17" s="704"/>
      <c r="T17" s="156"/>
      <c r="U17" s="704"/>
      <c r="V17" s="156">
        <v>1</v>
      </c>
      <c r="W17" s="704">
        <v>1</v>
      </c>
      <c r="X17" s="156"/>
      <c r="Y17" s="704"/>
      <c r="Z17" s="243"/>
      <c r="AA17" s="704"/>
      <c r="AB17" s="156"/>
      <c r="AC17" s="704"/>
      <c r="AD17" s="156"/>
      <c r="AE17" s="704"/>
      <c r="AF17" s="156">
        <v>2</v>
      </c>
      <c r="AG17" s="704">
        <v>2</v>
      </c>
      <c r="AH17" s="156"/>
      <c r="AI17" s="704"/>
      <c r="AJ17" s="156"/>
      <c r="AK17" s="704"/>
      <c r="AL17" s="470"/>
      <c r="AM17" s="704"/>
      <c r="AN17" s="718"/>
      <c r="AO17" s="714"/>
      <c r="AP17" s="471"/>
      <c r="AQ17" s="704"/>
      <c r="AR17" s="155"/>
      <c r="AS17" s="704"/>
      <c r="AT17" s="156"/>
      <c r="AU17" s="704"/>
      <c r="AV17" s="489">
        <f t="shared" si="0"/>
        <v>3.75</v>
      </c>
      <c r="AW17" s="489">
        <f t="shared" si="1"/>
        <v>3</v>
      </c>
      <c r="AX17" s="156"/>
      <c r="AY17" s="704"/>
      <c r="AZ17" s="157">
        <f t="shared" si="2"/>
        <v>3.75</v>
      </c>
      <c r="BA17" s="994">
        <f t="shared" si="3"/>
        <v>3</v>
      </c>
    </row>
    <row r="18" spans="1:53">
      <c r="A18" s="151" t="s">
        <v>88</v>
      </c>
      <c r="B18" s="152"/>
      <c r="C18" s="704"/>
      <c r="D18" s="156"/>
      <c r="E18" s="704"/>
      <c r="F18" s="156"/>
      <c r="G18" s="704"/>
      <c r="H18" s="156"/>
      <c r="I18" s="704"/>
      <c r="J18" s="156"/>
      <c r="K18" s="704"/>
      <c r="L18" s="156"/>
      <c r="M18" s="704"/>
      <c r="N18" s="156"/>
      <c r="O18" s="704"/>
      <c r="P18" s="156"/>
      <c r="Q18" s="704"/>
      <c r="R18" s="156"/>
      <c r="S18" s="704"/>
      <c r="T18" s="156"/>
      <c r="U18" s="704"/>
      <c r="V18" s="156"/>
      <c r="W18" s="704"/>
      <c r="X18" s="156"/>
      <c r="Y18" s="704"/>
      <c r="Z18" s="243"/>
      <c r="AA18" s="704"/>
      <c r="AB18" s="156"/>
      <c r="AC18" s="704"/>
      <c r="AD18" s="156"/>
      <c r="AE18" s="704"/>
      <c r="AF18" s="156"/>
      <c r="AG18" s="704"/>
      <c r="AH18" s="156"/>
      <c r="AI18" s="704"/>
      <c r="AJ18" s="156"/>
      <c r="AK18" s="704"/>
      <c r="AL18" s="470"/>
      <c r="AM18" s="704"/>
      <c r="AN18" s="718"/>
      <c r="AO18" s="714"/>
      <c r="AP18" s="471"/>
      <c r="AQ18" s="704"/>
      <c r="AR18" s="155"/>
      <c r="AS18" s="704"/>
      <c r="AT18" s="156"/>
      <c r="AU18" s="704"/>
      <c r="AV18" s="489">
        <f t="shared" si="0"/>
        <v>0</v>
      </c>
      <c r="AW18" s="489">
        <f t="shared" si="1"/>
        <v>0</v>
      </c>
      <c r="AX18" s="156"/>
      <c r="AY18" s="704"/>
      <c r="AZ18" s="157">
        <f t="shared" si="2"/>
        <v>0</v>
      </c>
      <c r="BA18" s="994">
        <f t="shared" si="3"/>
        <v>0</v>
      </c>
    </row>
    <row r="19" spans="1:53">
      <c r="A19" s="151" t="s">
        <v>89</v>
      </c>
      <c r="B19" s="152">
        <v>2</v>
      </c>
      <c r="C19" s="704">
        <v>2</v>
      </c>
      <c r="D19" s="156"/>
      <c r="E19" s="704"/>
      <c r="F19" s="156"/>
      <c r="G19" s="704"/>
      <c r="H19" s="156"/>
      <c r="I19" s="704"/>
      <c r="J19" s="156">
        <v>1.45</v>
      </c>
      <c r="K19" s="704"/>
      <c r="L19" s="156"/>
      <c r="M19" s="704"/>
      <c r="N19" s="156"/>
      <c r="O19" s="704"/>
      <c r="P19" s="156"/>
      <c r="Q19" s="704"/>
      <c r="R19" s="156"/>
      <c r="S19" s="704"/>
      <c r="T19" s="156"/>
      <c r="U19" s="704"/>
      <c r="V19" s="156"/>
      <c r="W19" s="704"/>
      <c r="X19" s="156"/>
      <c r="Y19" s="704"/>
      <c r="Z19" s="243"/>
      <c r="AA19" s="704"/>
      <c r="AB19" s="156"/>
      <c r="AC19" s="704"/>
      <c r="AD19" s="156"/>
      <c r="AE19" s="704"/>
      <c r="AF19" s="156"/>
      <c r="AG19" s="704"/>
      <c r="AH19" s="156"/>
      <c r="AI19" s="704"/>
      <c r="AJ19" s="156"/>
      <c r="AK19" s="704"/>
      <c r="AL19" s="470"/>
      <c r="AM19" s="704"/>
      <c r="AN19" s="718"/>
      <c r="AO19" s="714"/>
      <c r="AP19" s="471"/>
      <c r="AQ19" s="704"/>
      <c r="AR19" s="155"/>
      <c r="AS19" s="704"/>
      <c r="AT19" s="156"/>
      <c r="AU19" s="704"/>
      <c r="AV19" s="489">
        <f t="shared" si="0"/>
        <v>3.45</v>
      </c>
      <c r="AW19" s="489">
        <f t="shared" si="1"/>
        <v>2</v>
      </c>
      <c r="AX19" s="156"/>
      <c r="AY19" s="704"/>
      <c r="AZ19" s="157">
        <f t="shared" si="2"/>
        <v>3.45</v>
      </c>
      <c r="BA19" s="994">
        <f t="shared" si="3"/>
        <v>2</v>
      </c>
    </row>
    <row r="20" spans="1:53">
      <c r="A20" s="151" t="s">
        <v>90</v>
      </c>
      <c r="B20" s="152"/>
      <c r="C20" s="704"/>
      <c r="D20" s="156">
        <v>1</v>
      </c>
      <c r="E20" s="704">
        <v>1</v>
      </c>
      <c r="F20" s="156">
        <v>3</v>
      </c>
      <c r="G20" s="704">
        <v>3</v>
      </c>
      <c r="H20" s="156">
        <v>4.4400000000000004</v>
      </c>
      <c r="I20" s="704">
        <v>6</v>
      </c>
      <c r="J20" s="156"/>
      <c r="K20" s="704">
        <v>1</v>
      </c>
      <c r="L20" s="156">
        <v>4.99</v>
      </c>
      <c r="M20" s="704">
        <v>9</v>
      </c>
      <c r="N20" s="156">
        <v>13</v>
      </c>
      <c r="O20" s="704">
        <v>9</v>
      </c>
      <c r="P20" s="156">
        <v>4</v>
      </c>
      <c r="Q20" s="704">
        <v>4</v>
      </c>
      <c r="R20" s="156">
        <v>10</v>
      </c>
      <c r="S20" s="704">
        <v>8</v>
      </c>
      <c r="T20" s="156">
        <v>15</v>
      </c>
      <c r="U20" s="704">
        <v>4</v>
      </c>
      <c r="V20" s="156">
        <v>18</v>
      </c>
      <c r="W20" s="704">
        <v>7</v>
      </c>
      <c r="X20" s="156"/>
      <c r="Y20" s="704"/>
      <c r="Z20" s="243">
        <v>5.25</v>
      </c>
      <c r="AA20" s="704">
        <v>3</v>
      </c>
      <c r="AB20" s="156">
        <v>0.5</v>
      </c>
      <c r="AC20" s="704">
        <v>5.63</v>
      </c>
      <c r="AD20" s="517">
        <v>10.73</v>
      </c>
      <c r="AE20" s="704">
        <v>7</v>
      </c>
      <c r="AF20" s="156">
        <v>22.5</v>
      </c>
      <c r="AG20" s="704">
        <v>30</v>
      </c>
      <c r="AH20" s="711">
        <v>10</v>
      </c>
      <c r="AI20" s="704">
        <v>8</v>
      </c>
      <c r="AJ20" s="156">
        <v>7</v>
      </c>
      <c r="AK20" s="704">
        <v>9</v>
      </c>
      <c r="AL20" s="470"/>
      <c r="AM20" s="704"/>
      <c r="AN20" s="718">
        <v>10.46</v>
      </c>
      <c r="AO20" s="714">
        <v>10</v>
      </c>
      <c r="AP20" s="471"/>
      <c r="AQ20" s="704"/>
      <c r="AR20" s="155"/>
      <c r="AS20" s="704"/>
      <c r="AT20" s="156">
        <v>2.34</v>
      </c>
      <c r="AU20" s="704">
        <v>3</v>
      </c>
      <c r="AV20" s="489">
        <f t="shared" si="0"/>
        <v>142.21000000000004</v>
      </c>
      <c r="AW20" s="489">
        <f t="shared" si="1"/>
        <v>127.63</v>
      </c>
      <c r="AX20" s="156"/>
      <c r="AY20" s="704"/>
      <c r="AZ20" s="157">
        <f t="shared" si="2"/>
        <v>142.21000000000004</v>
      </c>
      <c r="BA20" s="994">
        <f t="shared" si="3"/>
        <v>127.63</v>
      </c>
    </row>
    <row r="21" spans="1:53" ht="17.25">
      <c r="A21" s="151" t="s">
        <v>91</v>
      </c>
      <c r="B21" s="152"/>
      <c r="C21" s="704"/>
      <c r="D21" s="156">
        <v>1</v>
      </c>
      <c r="E21" s="704">
        <v>1</v>
      </c>
      <c r="F21" s="156"/>
      <c r="G21" s="704"/>
      <c r="H21" s="156">
        <v>0.81</v>
      </c>
      <c r="I21" s="704">
        <v>2</v>
      </c>
      <c r="J21" s="156"/>
      <c r="K21" s="704"/>
      <c r="L21" s="156"/>
      <c r="M21" s="704"/>
      <c r="N21" s="156"/>
      <c r="O21" s="704">
        <v>1</v>
      </c>
      <c r="P21" s="156">
        <v>1</v>
      </c>
      <c r="Q21" s="704">
        <v>1</v>
      </c>
      <c r="R21" s="156">
        <v>2</v>
      </c>
      <c r="S21" s="704">
        <v>2</v>
      </c>
      <c r="T21" s="156"/>
      <c r="U21" s="704"/>
      <c r="V21" s="156"/>
      <c r="W21" s="704"/>
      <c r="X21" s="156"/>
      <c r="Y21" s="704"/>
      <c r="Z21" s="243"/>
      <c r="AA21" s="704"/>
      <c r="AB21" s="156"/>
      <c r="AC21" s="704"/>
      <c r="AD21" s="156"/>
      <c r="AE21" s="704"/>
      <c r="AF21" s="156">
        <v>7.76</v>
      </c>
      <c r="AG21" s="704">
        <v>8</v>
      </c>
      <c r="AH21" s="158"/>
      <c r="AI21" s="704"/>
      <c r="AJ21" s="156"/>
      <c r="AK21" s="704"/>
      <c r="AL21" s="470"/>
      <c r="AM21" s="704"/>
      <c r="AN21" s="718">
        <v>0.25</v>
      </c>
      <c r="AO21" s="714"/>
      <c r="AP21" s="471"/>
      <c r="AQ21" s="704"/>
      <c r="AR21" s="155"/>
      <c r="AS21" s="704"/>
      <c r="AT21" s="156">
        <v>0.04</v>
      </c>
      <c r="AU21" s="704"/>
      <c r="AV21" s="489">
        <f t="shared" si="0"/>
        <v>12.86</v>
      </c>
      <c r="AW21" s="489">
        <f t="shared" si="1"/>
        <v>15</v>
      </c>
      <c r="AX21" s="155"/>
      <c r="AY21" s="704"/>
      <c r="AZ21" s="157">
        <f t="shared" si="2"/>
        <v>12.86</v>
      </c>
      <c r="BA21" s="994">
        <f t="shared" si="3"/>
        <v>15</v>
      </c>
    </row>
    <row r="22" spans="1:53">
      <c r="A22" s="151" t="s">
        <v>92</v>
      </c>
      <c r="B22" s="152">
        <v>9875.9599999999991</v>
      </c>
      <c r="C22" s="704">
        <v>14931</v>
      </c>
      <c r="D22" s="156">
        <v>1085</v>
      </c>
      <c r="E22" s="704">
        <v>662</v>
      </c>
      <c r="F22" s="156">
        <v>412</v>
      </c>
      <c r="G22" s="704">
        <v>547</v>
      </c>
      <c r="H22" s="156">
        <v>5654.41</v>
      </c>
      <c r="I22" s="704">
        <v>12739</v>
      </c>
      <c r="J22" s="156">
        <v>5720.68</v>
      </c>
      <c r="K22" s="704">
        <v>7661</v>
      </c>
      <c r="L22" s="156">
        <v>1190.05</v>
      </c>
      <c r="M22" s="704">
        <v>918</v>
      </c>
      <c r="N22" s="156">
        <v>16</v>
      </c>
      <c r="O22" s="704">
        <v>12</v>
      </c>
      <c r="P22" s="156">
        <v>2516</v>
      </c>
      <c r="Q22" s="704">
        <v>2879</v>
      </c>
      <c r="R22" s="156">
        <v>904</v>
      </c>
      <c r="S22" s="704">
        <v>832</v>
      </c>
      <c r="T22" s="156">
        <v>78</v>
      </c>
      <c r="U22" s="704">
        <v>75</v>
      </c>
      <c r="V22" s="156">
        <v>60369</v>
      </c>
      <c r="W22" s="704">
        <v>73966</v>
      </c>
      <c r="X22" s="156">
        <v>3268417</v>
      </c>
      <c r="Y22" s="704"/>
      <c r="Z22" s="243">
        <v>1050.8900000000001</v>
      </c>
      <c r="AA22" s="704">
        <v>1047</v>
      </c>
      <c r="AB22" s="156">
        <v>202.78</v>
      </c>
      <c r="AC22" s="704">
        <v>240.17</v>
      </c>
      <c r="AD22" s="156">
        <v>3357.29</v>
      </c>
      <c r="AE22" s="704">
        <v>7137</v>
      </c>
      <c r="AF22" s="156">
        <v>12621.52</v>
      </c>
      <c r="AG22" s="704">
        <v>23460</v>
      </c>
      <c r="AH22" s="156">
        <v>3303.99</v>
      </c>
      <c r="AI22" s="704">
        <v>2804</v>
      </c>
      <c r="AJ22" s="156">
        <v>4147</v>
      </c>
      <c r="AK22" s="704">
        <v>3674</v>
      </c>
      <c r="AL22" s="470"/>
      <c r="AM22" s="704"/>
      <c r="AN22" s="718">
        <v>1017.74</v>
      </c>
      <c r="AO22" s="714">
        <v>3237</v>
      </c>
      <c r="AP22" s="471">
        <v>1.88</v>
      </c>
      <c r="AQ22" s="704">
        <v>4</v>
      </c>
      <c r="AR22" s="155">
        <v>47.64</v>
      </c>
      <c r="AS22" s="704">
        <v>841</v>
      </c>
      <c r="AT22" s="156">
        <v>18747.599999999999</v>
      </c>
      <c r="AU22" s="704">
        <v>27590</v>
      </c>
      <c r="AV22" s="489">
        <f t="shared" si="0"/>
        <v>3400736.4300000006</v>
      </c>
      <c r="AW22" s="489">
        <f t="shared" si="1"/>
        <v>185256.16999999998</v>
      </c>
      <c r="AX22" s="155"/>
      <c r="AY22" s="704"/>
      <c r="AZ22" s="157">
        <f t="shared" si="2"/>
        <v>3400736.4300000006</v>
      </c>
      <c r="BA22" s="994">
        <f t="shared" si="3"/>
        <v>185256.16999999998</v>
      </c>
    </row>
    <row r="23" spans="1:53">
      <c r="A23" s="151" t="s">
        <v>93</v>
      </c>
      <c r="B23" s="152">
        <v>539.44000000000005</v>
      </c>
      <c r="C23" s="704">
        <v>577</v>
      </c>
      <c r="D23" s="156">
        <v>165</v>
      </c>
      <c r="E23" s="704">
        <v>110</v>
      </c>
      <c r="F23" s="156">
        <v>80</v>
      </c>
      <c r="G23" s="704">
        <v>83</v>
      </c>
      <c r="H23" s="156">
        <v>347.52</v>
      </c>
      <c r="I23" s="704">
        <v>404</v>
      </c>
      <c r="J23" s="156">
        <v>204.67</v>
      </c>
      <c r="K23" s="704">
        <v>167</v>
      </c>
      <c r="L23" s="156">
        <v>255.46</v>
      </c>
      <c r="M23" s="704">
        <v>409</v>
      </c>
      <c r="N23" s="156">
        <v>86</v>
      </c>
      <c r="O23" s="704">
        <v>80</v>
      </c>
      <c r="P23" s="156">
        <v>122</v>
      </c>
      <c r="Q23" s="704">
        <v>137</v>
      </c>
      <c r="R23" s="156">
        <v>192</v>
      </c>
      <c r="S23" s="704">
        <v>280</v>
      </c>
      <c r="T23" s="156">
        <v>112</v>
      </c>
      <c r="U23" s="704">
        <v>84</v>
      </c>
      <c r="V23" s="156">
        <v>783</v>
      </c>
      <c r="W23" s="704">
        <v>1076</v>
      </c>
      <c r="X23" s="156">
        <v>114518</v>
      </c>
      <c r="Y23" s="704"/>
      <c r="Z23" s="243">
        <v>98.33</v>
      </c>
      <c r="AA23" s="704">
        <v>114</v>
      </c>
      <c r="AB23" s="156">
        <v>130</v>
      </c>
      <c r="AC23" s="704">
        <v>144.63</v>
      </c>
      <c r="AD23" s="156">
        <v>421.44</v>
      </c>
      <c r="AE23" s="704">
        <v>420</v>
      </c>
      <c r="AF23" s="517">
        <v>842.4</v>
      </c>
      <c r="AG23" s="704">
        <v>1041</v>
      </c>
      <c r="AH23" s="156">
        <v>223.14</v>
      </c>
      <c r="AI23" s="704">
        <v>339</v>
      </c>
      <c r="AJ23" s="156">
        <v>315</v>
      </c>
      <c r="AK23" s="704">
        <v>311</v>
      </c>
      <c r="AL23" s="470"/>
      <c r="AM23" s="704"/>
      <c r="AN23" s="718">
        <v>405.39</v>
      </c>
      <c r="AO23" s="714">
        <v>510</v>
      </c>
      <c r="AP23" s="471">
        <v>36.31</v>
      </c>
      <c r="AQ23" s="704">
        <v>46</v>
      </c>
      <c r="AR23" s="155">
        <v>13.67</v>
      </c>
      <c r="AS23" s="704">
        <v>14</v>
      </c>
      <c r="AT23" s="156">
        <v>620.91999999999996</v>
      </c>
      <c r="AU23" s="704">
        <v>825</v>
      </c>
      <c r="AV23" s="489">
        <f t="shared" si="0"/>
        <v>120511.68999999999</v>
      </c>
      <c r="AW23" s="489">
        <f t="shared" si="1"/>
        <v>7171.63</v>
      </c>
      <c r="AX23" s="155"/>
      <c r="AY23" s="704"/>
      <c r="AZ23" s="157">
        <f t="shared" si="2"/>
        <v>120511.68999999999</v>
      </c>
      <c r="BA23" s="994">
        <f t="shared" si="3"/>
        <v>7171.63</v>
      </c>
    </row>
    <row r="24" spans="1:53">
      <c r="A24" s="151" t="s">
        <v>94</v>
      </c>
      <c r="B24" s="152"/>
      <c r="C24" s="704"/>
      <c r="D24" s="156"/>
      <c r="E24" s="704"/>
      <c r="F24" s="156"/>
      <c r="G24" s="704"/>
      <c r="H24" s="156"/>
      <c r="I24" s="704"/>
      <c r="J24" s="156">
        <v>1062.3900000000001</v>
      </c>
      <c r="K24" s="704"/>
      <c r="L24" s="156"/>
      <c r="M24" s="704"/>
      <c r="N24" s="156"/>
      <c r="O24" s="704"/>
      <c r="P24" s="156"/>
      <c r="Q24" s="704"/>
      <c r="R24" s="156">
        <v>279</v>
      </c>
      <c r="S24" s="704">
        <v>214</v>
      </c>
      <c r="T24" s="156"/>
      <c r="U24" s="704"/>
      <c r="V24" s="156"/>
      <c r="W24" s="704"/>
      <c r="X24" s="156"/>
      <c r="Y24" s="704"/>
      <c r="Z24" s="243"/>
      <c r="AA24" s="704"/>
      <c r="AB24" s="156"/>
      <c r="AC24" s="704"/>
      <c r="AD24" s="156"/>
      <c r="AE24" s="704"/>
      <c r="AF24" s="156"/>
      <c r="AG24" s="704">
        <v>1446</v>
      </c>
      <c r="AH24" s="156">
        <v>246.27</v>
      </c>
      <c r="AI24" s="704">
        <v>171</v>
      </c>
      <c r="AJ24" s="156"/>
      <c r="AK24" s="704"/>
      <c r="AL24" s="470"/>
      <c r="AM24" s="704"/>
      <c r="AN24" s="718">
        <v>7.11</v>
      </c>
      <c r="AO24" s="714">
        <v>76</v>
      </c>
      <c r="AP24" s="471"/>
      <c r="AQ24" s="704"/>
      <c r="AR24" s="155"/>
      <c r="AS24" s="704"/>
      <c r="AT24" s="156"/>
      <c r="AU24" s="704"/>
      <c r="AV24" s="489">
        <f t="shared" si="0"/>
        <v>1594.77</v>
      </c>
      <c r="AW24" s="489">
        <f t="shared" si="1"/>
        <v>1907</v>
      </c>
      <c r="AX24" s="155"/>
      <c r="AY24" s="704"/>
      <c r="AZ24" s="157">
        <f t="shared" si="2"/>
        <v>1594.77</v>
      </c>
      <c r="BA24" s="994">
        <f t="shared" si="3"/>
        <v>1907</v>
      </c>
    </row>
    <row r="25" spans="1:53">
      <c r="A25" s="151" t="s">
        <v>95</v>
      </c>
      <c r="B25" s="152">
        <v>3401.24</v>
      </c>
      <c r="C25" s="704">
        <v>3763</v>
      </c>
      <c r="D25" s="156">
        <v>1342</v>
      </c>
      <c r="E25" s="704">
        <v>1302</v>
      </c>
      <c r="F25" s="156">
        <v>399</v>
      </c>
      <c r="G25" s="704">
        <v>402</v>
      </c>
      <c r="H25" s="156">
        <v>3362.76</v>
      </c>
      <c r="I25" s="704">
        <v>4511</v>
      </c>
      <c r="J25" s="156">
        <v>2560.08</v>
      </c>
      <c r="K25" s="704">
        <v>3555</v>
      </c>
      <c r="L25" s="156">
        <v>2014.22</v>
      </c>
      <c r="M25" s="704">
        <v>2469</v>
      </c>
      <c r="N25" s="156">
        <v>616</v>
      </c>
      <c r="O25" s="704">
        <v>719</v>
      </c>
      <c r="P25" s="156">
        <v>1131</v>
      </c>
      <c r="Q25" s="704">
        <v>1129</v>
      </c>
      <c r="R25" s="156">
        <v>1459</v>
      </c>
      <c r="S25" s="704">
        <v>1647</v>
      </c>
      <c r="T25" s="156">
        <v>411</v>
      </c>
      <c r="U25" s="704">
        <v>624</v>
      </c>
      <c r="V25" s="156">
        <v>5660</v>
      </c>
      <c r="W25" s="704">
        <v>7935</v>
      </c>
      <c r="X25" s="156">
        <f>460406+162292</f>
        <v>622698</v>
      </c>
      <c r="Y25" s="704"/>
      <c r="Z25" s="243">
        <v>814.9</v>
      </c>
      <c r="AA25" s="704">
        <v>1031</v>
      </c>
      <c r="AB25" s="156">
        <v>2257.83</v>
      </c>
      <c r="AC25" s="704">
        <v>3114.7</v>
      </c>
      <c r="AD25" s="517">
        <v>2082.15</v>
      </c>
      <c r="AE25" s="704">
        <v>2155</v>
      </c>
      <c r="AF25" s="156">
        <v>3356.44</v>
      </c>
      <c r="AG25" s="704">
        <v>3971</v>
      </c>
      <c r="AH25" s="156">
        <v>2899.05</v>
      </c>
      <c r="AI25" s="704">
        <v>3393</v>
      </c>
      <c r="AJ25" s="156">
        <v>1595</v>
      </c>
      <c r="AK25" s="704">
        <v>1576</v>
      </c>
      <c r="AL25" s="470"/>
      <c r="AM25" s="704"/>
      <c r="AN25" s="718">
        <v>5086.7299999999996</v>
      </c>
      <c r="AO25" s="714">
        <v>5946</v>
      </c>
      <c r="AP25" s="471">
        <v>565.87</v>
      </c>
      <c r="AQ25" s="704">
        <v>744</v>
      </c>
      <c r="AR25" s="155">
        <v>888.93</v>
      </c>
      <c r="AS25" s="704">
        <v>999</v>
      </c>
      <c r="AT25" s="156">
        <v>2670.62</v>
      </c>
      <c r="AU25" s="704">
        <v>4026</v>
      </c>
      <c r="AV25" s="489">
        <f t="shared" si="0"/>
        <v>667271.82000000007</v>
      </c>
      <c r="AW25" s="489">
        <f t="shared" si="1"/>
        <v>55011.7</v>
      </c>
      <c r="AX25" s="156"/>
      <c r="AY25" s="704"/>
      <c r="AZ25" s="157">
        <f t="shared" si="2"/>
        <v>667271.82000000007</v>
      </c>
      <c r="BA25" s="994">
        <f t="shared" si="3"/>
        <v>55011.7</v>
      </c>
    </row>
    <row r="26" spans="1:53">
      <c r="A26" s="151" t="s">
        <v>96</v>
      </c>
      <c r="B26" s="152"/>
      <c r="C26" s="704"/>
      <c r="D26" s="156"/>
      <c r="E26" s="704">
        <v>12</v>
      </c>
      <c r="F26" s="156">
        <v>67</v>
      </c>
      <c r="G26" s="704">
        <v>56</v>
      </c>
      <c r="H26" s="156"/>
      <c r="I26" s="704">
        <v>1435</v>
      </c>
      <c r="J26" s="156"/>
      <c r="K26" s="704"/>
      <c r="L26" s="156"/>
      <c r="M26" s="704"/>
      <c r="N26" s="156">
        <v>89</v>
      </c>
      <c r="O26" s="704">
        <v>35</v>
      </c>
      <c r="P26" s="156">
        <v>85</v>
      </c>
      <c r="Q26" s="704">
        <v>138</v>
      </c>
      <c r="R26" s="156">
        <v>405</v>
      </c>
      <c r="S26" s="704">
        <v>223</v>
      </c>
      <c r="T26" s="156">
        <v>13</v>
      </c>
      <c r="U26" s="704">
        <v>12</v>
      </c>
      <c r="V26" s="156">
        <v>94</v>
      </c>
      <c r="W26" s="704">
        <v>438</v>
      </c>
      <c r="X26" s="156">
        <v>11590</v>
      </c>
      <c r="Y26" s="704"/>
      <c r="Z26" s="243"/>
      <c r="AA26" s="704"/>
      <c r="AB26" s="156"/>
      <c r="AC26" s="704"/>
      <c r="AD26" s="156">
        <v>311.08</v>
      </c>
      <c r="AE26" s="704">
        <v>383</v>
      </c>
      <c r="AF26" s="471">
        <f>182.11+673.51</f>
        <v>855.62</v>
      </c>
      <c r="AG26" s="704">
        <v>311</v>
      </c>
      <c r="AH26" s="156">
        <v>51</v>
      </c>
      <c r="AI26" s="704">
        <v>382</v>
      </c>
      <c r="AJ26" s="156"/>
      <c r="AK26" s="704"/>
      <c r="AL26" s="470"/>
      <c r="AM26" s="704"/>
      <c r="AN26" s="718">
        <v>1119.8499999999999</v>
      </c>
      <c r="AO26" s="714">
        <v>1105</v>
      </c>
      <c r="AP26" s="471">
        <v>7.1</v>
      </c>
      <c r="AQ26" s="704">
        <v>39</v>
      </c>
      <c r="AR26" s="155">
        <v>307.61</v>
      </c>
      <c r="AS26" s="704">
        <v>74</v>
      </c>
      <c r="AT26" s="156"/>
      <c r="AU26" s="704"/>
      <c r="AV26" s="489">
        <f t="shared" si="0"/>
        <v>14995.260000000002</v>
      </c>
      <c r="AW26" s="489">
        <f t="shared" si="1"/>
        <v>4643</v>
      </c>
      <c r="AX26" s="155"/>
      <c r="AY26" s="704"/>
      <c r="AZ26" s="157">
        <f t="shared" si="2"/>
        <v>14995.260000000002</v>
      </c>
      <c r="BA26" s="994">
        <f t="shared" si="3"/>
        <v>4643</v>
      </c>
    </row>
    <row r="27" spans="1:53">
      <c r="A27" s="151" t="s">
        <v>97</v>
      </c>
      <c r="B27" s="152">
        <v>1401.01</v>
      </c>
      <c r="C27" s="704">
        <v>1304</v>
      </c>
      <c r="D27" s="156">
        <v>260</v>
      </c>
      <c r="E27" s="704">
        <v>219</v>
      </c>
      <c r="F27" s="156">
        <v>306</v>
      </c>
      <c r="G27" s="704">
        <v>267</v>
      </c>
      <c r="H27" s="156">
        <v>1780.86</v>
      </c>
      <c r="I27" s="704">
        <v>2200</v>
      </c>
      <c r="J27" s="156">
        <v>318.42</v>
      </c>
      <c r="K27" s="704">
        <v>136</v>
      </c>
      <c r="L27" s="156"/>
      <c r="M27" s="704">
        <v>346</v>
      </c>
      <c r="N27" s="156">
        <v>247</v>
      </c>
      <c r="O27" s="704">
        <v>287</v>
      </c>
      <c r="P27" s="156">
        <v>176</v>
      </c>
      <c r="Q27" s="704">
        <v>132</v>
      </c>
      <c r="R27" s="156">
        <v>578</v>
      </c>
      <c r="S27" s="704">
        <v>500</v>
      </c>
      <c r="T27" s="156">
        <v>218</v>
      </c>
      <c r="U27" s="704">
        <v>207</v>
      </c>
      <c r="V27" s="156">
        <v>3492</v>
      </c>
      <c r="W27" s="704">
        <v>4818</v>
      </c>
      <c r="X27" s="156"/>
      <c r="Y27" s="704"/>
      <c r="Z27" s="243">
        <v>56.28</v>
      </c>
      <c r="AA27" s="704">
        <v>91</v>
      </c>
      <c r="AB27" s="156">
        <v>712.68</v>
      </c>
      <c r="AC27" s="704">
        <v>1624.9</v>
      </c>
      <c r="AD27" s="156">
        <v>1910.35</v>
      </c>
      <c r="AE27" s="704">
        <v>1991</v>
      </c>
      <c r="AF27" s="471">
        <v>5128.5200000000004</v>
      </c>
      <c r="AG27" s="704">
        <v>2638</v>
      </c>
      <c r="AH27" s="156">
        <v>1517</v>
      </c>
      <c r="AI27" s="704">
        <v>2387</v>
      </c>
      <c r="AJ27" s="156">
        <v>136</v>
      </c>
      <c r="AK27" s="704">
        <v>148</v>
      </c>
      <c r="AL27" s="470"/>
      <c r="AM27" s="704"/>
      <c r="AN27" s="718">
        <v>4360.3</v>
      </c>
      <c r="AO27" s="714">
        <v>4655</v>
      </c>
      <c r="AP27" s="471">
        <v>99</v>
      </c>
      <c r="AQ27" s="704">
        <v>351</v>
      </c>
      <c r="AR27" s="155">
        <v>604.41999999999996</v>
      </c>
      <c r="AS27" s="704">
        <v>755</v>
      </c>
      <c r="AT27" s="156">
        <v>2653.06</v>
      </c>
      <c r="AU27" s="704">
        <v>2131</v>
      </c>
      <c r="AV27" s="489">
        <f t="shared" si="0"/>
        <v>25954.9</v>
      </c>
      <c r="AW27" s="489">
        <f t="shared" si="1"/>
        <v>27187.9</v>
      </c>
      <c r="AX27" s="155"/>
      <c r="AY27" s="704"/>
      <c r="AZ27" s="157">
        <f t="shared" si="2"/>
        <v>25954.9</v>
      </c>
      <c r="BA27" s="994">
        <f t="shared" si="3"/>
        <v>27187.9</v>
      </c>
    </row>
    <row r="28" spans="1:53">
      <c r="A28" s="151" t="s">
        <v>98</v>
      </c>
      <c r="B28" s="152">
        <v>1636.14</v>
      </c>
      <c r="C28" s="704">
        <v>1731</v>
      </c>
      <c r="D28" s="156">
        <v>1378</v>
      </c>
      <c r="E28" s="704">
        <v>1772</v>
      </c>
      <c r="F28" s="156">
        <v>919</v>
      </c>
      <c r="G28" s="704">
        <v>1251</v>
      </c>
      <c r="H28" s="156">
        <v>1849.9</v>
      </c>
      <c r="I28" s="704">
        <v>2017</v>
      </c>
      <c r="J28" s="156">
        <v>542.76</v>
      </c>
      <c r="K28" s="704">
        <v>526</v>
      </c>
      <c r="L28" s="156">
        <v>582.04</v>
      </c>
      <c r="M28" s="704">
        <v>818</v>
      </c>
      <c r="N28" s="156">
        <v>862</v>
      </c>
      <c r="O28" s="704">
        <v>689</v>
      </c>
      <c r="P28" s="156">
        <v>1475</v>
      </c>
      <c r="Q28" s="704">
        <v>1631</v>
      </c>
      <c r="R28" s="156">
        <v>697</v>
      </c>
      <c r="S28" s="704">
        <v>765</v>
      </c>
      <c r="T28" s="156">
        <v>1226</v>
      </c>
      <c r="U28" s="704">
        <v>1157</v>
      </c>
      <c r="V28" s="156">
        <v>2391</v>
      </c>
      <c r="W28" s="704">
        <v>2592</v>
      </c>
      <c r="X28" s="156">
        <v>308613</v>
      </c>
      <c r="Y28" s="704"/>
      <c r="Z28" s="243">
        <v>482.07</v>
      </c>
      <c r="AA28" s="704">
        <v>403</v>
      </c>
      <c r="AB28" s="156">
        <v>1242.43</v>
      </c>
      <c r="AC28" s="704">
        <v>818</v>
      </c>
      <c r="AD28" s="156">
        <v>2096</v>
      </c>
      <c r="AE28" s="704">
        <v>2256</v>
      </c>
      <c r="AF28" s="471">
        <v>4178.8</v>
      </c>
      <c r="AG28" s="704">
        <v>4530</v>
      </c>
      <c r="AH28" s="156">
        <v>2190.48</v>
      </c>
      <c r="AI28" s="704">
        <v>2069</v>
      </c>
      <c r="AJ28" s="156">
        <v>1487</v>
      </c>
      <c r="AK28" s="704">
        <v>1769</v>
      </c>
      <c r="AL28" s="470"/>
      <c r="AM28" s="704"/>
      <c r="AN28" s="718">
        <v>5795.86</v>
      </c>
      <c r="AO28" s="714">
        <v>3992</v>
      </c>
      <c r="AP28" s="471">
        <v>816.38</v>
      </c>
      <c r="AQ28" s="704">
        <v>1014</v>
      </c>
      <c r="AR28" s="155">
        <v>501.28</v>
      </c>
      <c r="AS28" s="704">
        <v>551</v>
      </c>
      <c r="AT28" s="156">
        <v>2616.12</v>
      </c>
      <c r="AU28" s="704">
        <v>2727</v>
      </c>
      <c r="AV28" s="489">
        <f t="shared" si="0"/>
        <v>343578.26</v>
      </c>
      <c r="AW28" s="489">
        <f t="shared" si="1"/>
        <v>35078</v>
      </c>
      <c r="AX28" s="155"/>
      <c r="AY28" s="704"/>
      <c r="AZ28" s="157">
        <f t="shared" si="2"/>
        <v>343578.26</v>
      </c>
      <c r="BA28" s="994">
        <f t="shared" si="3"/>
        <v>35078</v>
      </c>
    </row>
    <row r="29" spans="1:53">
      <c r="A29" s="151" t="s">
        <v>99</v>
      </c>
      <c r="B29" s="152">
        <v>8.18</v>
      </c>
      <c r="C29" s="704">
        <v>83</v>
      </c>
      <c r="D29" s="156"/>
      <c r="E29" s="704"/>
      <c r="F29" s="156"/>
      <c r="G29" s="704"/>
      <c r="H29" s="156"/>
      <c r="I29" s="704"/>
      <c r="J29" s="156"/>
      <c r="K29" s="704">
        <v>-1</v>
      </c>
      <c r="L29" s="156"/>
      <c r="M29" s="704"/>
      <c r="N29" s="156">
        <v>6</v>
      </c>
      <c r="O29" s="704">
        <v>32</v>
      </c>
      <c r="P29" s="156">
        <v>-43</v>
      </c>
      <c r="Q29" s="704">
        <v>54</v>
      </c>
      <c r="R29" s="156"/>
      <c r="S29" s="704"/>
      <c r="T29" s="156"/>
      <c r="U29" s="704"/>
      <c r="V29" s="156"/>
      <c r="W29" s="704"/>
      <c r="X29" s="156"/>
      <c r="Y29" s="704"/>
      <c r="Z29" s="243"/>
      <c r="AA29" s="704"/>
      <c r="AB29" s="156"/>
      <c r="AC29" s="704"/>
      <c r="AD29" s="156"/>
      <c r="AE29" s="704"/>
      <c r="AF29" s="471">
        <v>13.49</v>
      </c>
      <c r="AG29" s="704">
        <v>-6</v>
      </c>
      <c r="AH29" s="156"/>
      <c r="AI29" s="704"/>
      <c r="AJ29" s="156"/>
      <c r="AK29" s="704"/>
      <c r="AL29" s="470"/>
      <c r="AM29" s="704"/>
      <c r="AN29" s="718"/>
      <c r="AO29" s="714"/>
      <c r="AP29" s="471"/>
      <c r="AQ29" s="704"/>
      <c r="AR29" s="155"/>
      <c r="AS29" s="704"/>
      <c r="AT29" s="156"/>
      <c r="AU29" s="704"/>
      <c r="AV29" s="489">
        <f t="shared" si="0"/>
        <v>-15.33</v>
      </c>
      <c r="AW29" s="489">
        <f t="shared" si="1"/>
        <v>162</v>
      </c>
      <c r="AX29" s="155"/>
      <c r="AY29" s="704"/>
      <c r="AZ29" s="157">
        <f t="shared" si="2"/>
        <v>-15.33</v>
      </c>
      <c r="BA29" s="994">
        <f t="shared" si="3"/>
        <v>162</v>
      </c>
    </row>
    <row r="30" spans="1:53">
      <c r="A30" s="151" t="s">
        <v>100</v>
      </c>
      <c r="B30" s="152"/>
      <c r="C30" s="704"/>
      <c r="D30" s="156"/>
      <c r="E30" s="704"/>
      <c r="F30" s="156"/>
      <c r="G30" s="704"/>
      <c r="H30" s="156"/>
      <c r="I30" s="704"/>
      <c r="J30" s="156"/>
      <c r="K30" s="704"/>
      <c r="L30" s="156"/>
      <c r="M30" s="704"/>
      <c r="N30" s="156"/>
      <c r="O30" s="704"/>
      <c r="P30" s="156"/>
      <c r="Q30" s="704"/>
      <c r="R30" s="156"/>
      <c r="S30" s="704"/>
      <c r="T30" s="156"/>
      <c r="U30" s="704"/>
      <c r="V30" s="156"/>
      <c r="W30" s="704"/>
      <c r="X30" s="156"/>
      <c r="Y30" s="704"/>
      <c r="Z30" s="243"/>
      <c r="AA30" s="704"/>
      <c r="AB30" s="156"/>
      <c r="AC30" s="704"/>
      <c r="AD30" s="156"/>
      <c r="AE30" s="704"/>
      <c r="AF30" s="471"/>
      <c r="AG30" s="704"/>
      <c r="AH30" s="156"/>
      <c r="AI30" s="704"/>
      <c r="AJ30" s="156"/>
      <c r="AK30" s="704"/>
      <c r="AL30" s="470"/>
      <c r="AM30" s="704"/>
      <c r="AN30" s="718"/>
      <c r="AO30" s="714"/>
      <c r="AP30" s="471"/>
      <c r="AQ30" s="704"/>
      <c r="AR30" s="155"/>
      <c r="AS30" s="704"/>
      <c r="AT30" s="156"/>
      <c r="AU30" s="704"/>
      <c r="AV30" s="489">
        <f t="shared" si="0"/>
        <v>0</v>
      </c>
      <c r="AW30" s="489">
        <f t="shared" si="1"/>
        <v>0</v>
      </c>
      <c r="AX30" s="155"/>
      <c r="AY30" s="704"/>
      <c r="AZ30" s="157">
        <f t="shared" si="2"/>
        <v>0</v>
      </c>
      <c r="BA30" s="994">
        <f t="shared" si="3"/>
        <v>0</v>
      </c>
    </row>
    <row r="31" spans="1:53">
      <c r="A31" s="151" t="s">
        <v>101</v>
      </c>
      <c r="B31" s="152">
        <v>-7</v>
      </c>
      <c r="C31" s="704">
        <v>31</v>
      </c>
      <c r="D31" s="156">
        <v>96</v>
      </c>
      <c r="E31" s="704">
        <v>12</v>
      </c>
      <c r="F31" s="156">
        <v>302</v>
      </c>
      <c r="G31" s="704">
        <v>142</v>
      </c>
      <c r="H31" s="156">
        <v>1929.7</v>
      </c>
      <c r="I31" s="704">
        <v>1997</v>
      </c>
      <c r="J31" s="156"/>
      <c r="K31" s="704"/>
      <c r="L31" s="156"/>
      <c r="M31" s="704">
        <v>677</v>
      </c>
      <c r="N31" s="156">
        <v>259</v>
      </c>
      <c r="O31" s="704">
        <v>50</v>
      </c>
      <c r="P31" s="156">
        <v>1707</v>
      </c>
      <c r="Q31" s="704">
        <v>1410</v>
      </c>
      <c r="R31" s="156">
        <v>5165</v>
      </c>
      <c r="S31" s="704">
        <v>7371</v>
      </c>
      <c r="T31" s="156">
        <v>1173</v>
      </c>
      <c r="U31" s="704">
        <v>1384</v>
      </c>
      <c r="V31" s="156">
        <v>2916</v>
      </c>
      <c r="W31" s="704">
        <v>9622</v>
      </c>
      <c r="X31" s="156">
        <v>237643</v>
      </c>
      <c r="Y31" s="704"/>
      <c r="Z31" s="243">
        <v>316.60000000000002</v>
      </c>
      <c r="AA31" s="704">
        <v>637</v>
      </c>
      <c r="AB31" s="156">
        <v>2917</v>
      </c>
      <c r="AC31" s="704">
        <v>6169</v>
      </c>
      <c r="AD31" s="156">
        <v>2001.7</v>
      </c>
      <c r="AE31" s="704">
        <v>1527</v>
      </c>
      <c r="AF31" s="471"/>
      <c r="AG31" s="704">
        <v>80</v>
      </c>
      <c r="AH31" s="156">
        <v>259.63</v>
      </c>
      <c r="AI31" s="704">
        <v>1745</v>
      </c>
      <c r="AJ31" s="156">
        <v>910</v>
      </c>
      <c r="AK31" s="704">
        <v>878</v>
      </c>
      <c r="AL31" s="470"/>
      <c r="AM31" s="704"/>
      <c r="AN31" s="718"/>
      <c r="AO31" s="714">
        <v>8838</v>
      </c>
      <c r="AP31" s="471">
        <v>895</v>
      </c>
      <c r="AQ31" s="704">
        <v>1701</v>
      </c>
      <c r="AR31" s="155">
        <v>356.05</v>
      </c>
      <c r="AS31" s="704">
        <v>782</v>
      </c>
      <c r="AT31" s="156">
        <f>247.1+85.83</f>
        <v>332.93</v>
      </c>
      <c r="AU31" s="704">
        <v>792</v>
      </c>
      <c r="AV31" s="489">
        <f t="shared" si="0"/>
        <v>259172.61000000002</v>
      </c>
      <c r="AW31" s="489">
        <f t="shared" si="1"/>
        <v>45845</v>
      </c>
      <c r="AX31" s="155"/>
      <c r="AY31" s="704"/>
      <c r="AZ31" s="157">
        <f t="shared" si="2"/>
        <v>259172.61000000002</v>
      </c>
      <c r="BA31" s="994">
        <f t="shared" si="3"/>
        <v>45845</v>
      </c>
    </row>
    <row r="32" spans="1:53">
      <c r="A32" s="151" t="s">
        <v>102</v>
      </c>
      <c r="B32" s="152"/>
      <c r="C32" s="704"/>
      <c r="D32" s="156">
        <v>293</v>
      </c>
      <c r="E32" s="704">
        <v>193</v>
      </c>
      <c r="F32" s="156"/>
      <c r="G32" s="704"/>
      <c r="H32" s="156"/>
      <c r="I32" s="704"/>
      <c r="J32" s="156"/>
      <c r="K32" s="704"/>
      <c r="L32" s="156"/>
      <c r="M32" s="704"/>
      <c r="N32" s="156"/>
      <c r="O32" s="704"/>
      <c r="P32" s="156">
        <v>779</v>
      </c>
      <c r="Q32" s="704">
        <v>520</v>
      </c>
      <c r="R32" s="156"/>
      <c r="S32" s="704"/>
      <c r="T32" s="156"/>
      <c r="U32" s="704"/>
      <c r="V32" s="156"/>
      <c r="W32" s="704"/>
      <c r="X32" s="156"/>
      <c r="Y32" s="704"/>
      <c r="Z32" s="243"/>
      <c r="AA32" s="704"/>
      <c r="AB32" s="156"/>
      <c r="AC32" s="704"/>
      <c r="AD32" s="156"/>
      <c r="AE32" s="704"/>
      <c r="AF32" s="471"/>
      <c r="AG32" s="704"/>
      <c r="AH32" s="156"/>
      <c r="AI32" s="704"/>
      <c r="AJ32" s="156">
        <v>953</v>
      </c>
      <c r="AK32" s="704">
        <v>1228</v>
      </c>
      <c r="AL32" s="470"/>
      <c r="AM32" s="704"/>
      <c r="AN32" s="718"/>
      <c r="AO32" s="714"/>
      <c r="AP32" s="471"/>
      <c r="AQ32" s="704"/>
      <c r="AR32" s="155"/>
      <c r="AS32" s="704"/>
      <c r="AT32" s="156"/>
      <c r="AU32" s="704"/>
      <c r="AV32" s="489">
        <f t="shared" si="0"/>
        <v>2025</v>
      </c>
      <c r="AW32" s="489">
        <f t="shared" si="1"/>
        <v>1941</v>
      </c>
      <c r="AX32" s="155"/>
      <c r="AY32" s="704"/>
      <c r="AZ32" s="157">
        <f t="shared" si="2"/>
        <v>2025</v>
      </c>
      <c r="BA32" s="994">
        <f t="shared" si="3"/>
        <v>1941</v>
      </c>
    </row>
    <row r="33" spans="1:53">
      <c r="A33" s="151" t="s">
        <v>103</v>
      </c>
      <c r="B33" s="152"/>
      <c r="C33" s="704"/>
      <c r="D33" s="156">
        <v>60</v>
      </c>
      <c r="E33" s="704">
        <v>30</v>
      </c>
      <c r="F33" s="156"/>
      <c r="G33" s="704"/>
      <c r="H33" s="156"/>
      <c r="I33" s="704">
        <v>788</v>
      </c>
      <c r="J33" s="156"/>
      <c r="K33" s="704"/>
      <c r="L33" s="156"/>
      <c r="M33" s="704"/>
      <c r="N33" s="156"/>
      <c r="O33" s="704"/>
      <c r="P33" s="156"/>
      <c r="Q33" s="704"/>
      <c r="R33" s="156"/>
      <c r="S33" s="704"/>
      <c r="T33" s="156"/>
      <c r="U33" s="704"/>
      <c r="V33" s="156"/>
      <c r="W33" s="704"/>
      <c r="X33" s="156">
        <v>69206</v>
      </c>
      <c r="Y33" s="704"/>
      <c r="Z33" s="243"/>
      <c r="AA33" s="704">
        <v>220</v>
      </c>
      <c r="AB33" s="156">
        <v>148</v>
      </c>
      <c r="AC33" s="704">
        <v>148</v>
      </c>
      <c r="AD33" s="156"/>
      <c r="AE33" s="704"/>
      <c r="AF33" s="471">
        <v>50.87</v>
      </c>
      <c r="AG33" s="704">
        <v>50</v>
      </c>
      <c r="AH33" s="156">
        <v>561.73</v>
      </c>
      <c r="AI33" s="704">
        <v>518</v>
      </c>
      <c r="AJ33" s="156"/>
      <c r="AK33" s="704"/>
      <c r="AL33" s="470"/>
      <c r="AM33" s="704"/>
      <c r="AN33" s="718"/>
      <c r="AO33" s="714"/>
      <c r="AP33" s="471"/>
      <c r="AQ33" s="704"/>
      <c r="AR33" s="155"/>
      <c r="AS33" s="704"/>
      <c r="AT33" s="156"/>
      <c r="AU33" s="704"/>
      <c r="AV33" s="489">
        <f t="shared" si="0"/>
        <v>70026.599999999991</v>
      </c>
      <c r="AW33" s="489">
        <f t="shared" si="1"/>
        <v>1754</v>
      </c>
      <c r="AX33" s="155"/>
      <c r="AY33" s="704"/>
      <c r="AZ33" s="157">
        <f t="shared" si="2"/>
        <v>70026.599999999991</v>
      </c>
      <c r="BA33" s="994">
        <f t="shared" si="3"/>
        <v>1754</v>
      </c>
    </row>
    <row r="34" spans="1:53">
      <c r="A34" s="151" t="s">
        <v>104</v>
      </c>
      <c r="B34" s="152">
        <v>452.27</v>
      </c>
      <c r="C34" s="704">
        <v>433</v>
      </c>
      <c r="D34" s="156">
        <v>28</v>
      </c>
      <c r="E34" s="704">
        <v>6</v>
      </c>
      <c r="F34" s="156">
        <v>145</v>
      </c>
      <c r="G34" s="704">
        <v>129</v>
      </c>
      <c r="H34" s="156">
        <f>510.92</f>
        <v>510.92</v>
      </c>
      <c r="I34" s="704">
        <v>411</v>
      </c>
      <c r="J34" s="156">
        <v>120.29</v>
      </c>
      <c r="K34" s="704">
        <v>139</v>
      </c>
      <c r="L34" s="156"/>
      <c r="M34" s="704"/>
      <c r="N34" s="156">
        <v>101</v>
      </c>
      <c r="O34" s="704">
        <v>109</v>
      </c>
      <c r="P34" s="156"/>
      <c r="Q34" s="704"/>
      <c r="R34" s="156">
        <v>265</v>
      </c>
      <c r="S34" s="704">
        <v>282</v>
      </c>
      <c r="T34" s="156"/>
      <c r="U34" s="704"/>
      <c r="V34" s="156"/>
      <c r="W34" s="704"/>
      <c r="X34" s="156"/>
      <c r="Y34" s="704"/>
      <c r="Z34" s="243">
        <v>57.14</v>
      </c>
      <c r="AA34" s="704">
        <v>79</v>
      </c>
      <c r="AB34" s="156"/>
      <c r="AC34" s="704"/>
      <c r="AD34" s="156">
        <v>419.5</v>
      </c>
      <c r="AE34" s="704">
        <v>369</v>
      </c>
      <c r="AF34" s="471">
        <v>508.75</v>
      </c>
      <c r="AG34" s="704">
        <v>750</v>
      </c>
      <c r="AH34" s="156"/>
      <c r="AI34" s="704"/>
      <c r="AJ34" s="156"/>
      <c r="AK34" s="704"/>
      <c r="AL34" s="470"/>
      <c r="AM34" s="704"/>
      <c r="AN34" s="718"/>
      <c r="AO34" s="714"/>
      <c r="AP34" s="471"/>
      <c r="AQ34" s="704"/>
      <c r="AR34" s="155"/>
      <c r="AS34" s="704"/>
      <c r="AT34" s="156"/>
      <c r="AU34" s="704"/>
      <c r="AV34" s="489">
        <f t="shared" si="0"/>
        <v>2607.87</v>
      </c>
      <c r="AW34" s="489">
        <f t="shared" si="1"/>
        <v>2707</v>
      </c>
      <c r="AX34" s="155"/>
      <c r="AY34" s="704"/>
      <c r="AZ34" s="157">
        <f t="shared" si="2"/>
        <v>2607.87</v>
      </c>
      <c r="BA34" s="994">
        <f t="shared" si="3"/>
        <v>2707</v>
      </c>
    </row>
    <row r="35" spans="1:53">
      <c r="A35" s="151" t="s">
        <v>105</v>
      </c>
      <c r="B35" s="152">
        <v>315.36</v>
      </c>
      <c r="C35" s="704">
        <v>329</v>
      </c>
      <c r="D35" s="156">
        <v>40</v>
      </c>
      <c r="E35" s="704">
        <v>39</v>
      </c>
      <c r="F35" s="156">
        <v>145</v>
      </c>
      <c r="G35" s="704">
        <v>115</v>
      </c>
      <c r="H35" s="156"/>
      <c r="I35" s="704"/>
      <c r="J35" s="156"/>
      <c r="K35" s="704">
        <v>816</v>
      </c>
      <c r="L35" s="156"/>
      <c r="M35" s="704"/>
      <c r="N35" s="156">
        <v>25</v>
      </c>
      <c r="O35" s="704">
        <v>25</v>
      </c>
      <c r="P35" s="156"/>
      <c r="Q35" s="704"/>
      <c r="R35" s="156"/>
      <c r="S35" s="704"/>
      <c r="T35" s="156"/>
      <c r="U35" s="704"/>
      <c r="V35" s="156"/>
      <c r="W35" s="704"/>
      <c r="X35" s="156"/>
      <c r="Y35" s="704"/>
      <c r="Z35" s="243"/>
      <c r="AA35" s="704"/>
      <c r="AB35" s="156"/>
      <c r="AC35" s="704"/>
      <c r="AD35" s="156">
        <v>59.32</v>
      </c>
      <c r="AE35" s="704">
        <v>250</v>
      </c>
      <c r="AF35" s="471">
        <v>715.83</v>
      </c>
      <c r="AG35" s="704">
        <v>1446</v>
      </c>
      <c r="AH35" s="156"/>
      <c r="AI35" s="704"/>
      <c r="AJ35" s="156"/>
      <c r="AK35" s="704"/>
      <c r="AL35" s="470"/>
      <c r="AM35" s="704"/>
      <c r="AN35" s="718"/>
      <c r="AO35" s="714"/>
      <c r="AP35" s="471"/>
      <c r="AQ35" s="704"/>
      <c r="AR35" s="155"/>
      <c r="AS35" s="704"/>
      <c r="AT35" s="711"/>
      <c r="AU35" s="704"/>
      <c r="AV35" s="489">
        <f t="shared" si="0"/>
        <v>1300.5100000000002</v>
      </c>
      <c r="AW35" s="489">
        <f t="shared" si="1"/>
        <v>3020</v>
      </c>
      <c r="AX35" s="155"/>
      <c r="AY35" s="704"/>
      <c r="AZ35" s="157">
        <f t="shared" si="2"/>
        <v>1300.5100000000002</v>
      </c>
      <c r="BA35" s="994">
        <f t="shared" si="3"/>
        <v>3020</v>
      </c>
    </row>
    <row r="36" spans="1:53">
      <c r="A36" s="151" t="s">
        <v>106</v>
      </c>
      <c r="B36" s="152">
        <v>442.02</v>
      </c>
      <c r="C36" s="704">
        <v>462</v>
      </c>
      <c r="D36" s="156">
        <v>56</v>
      </c>
      <c r="E36" s="704">
        <v>53</v>
      </c>
      <c r="F36" s="156">
        <v>61</v>
      </c>
      <c r="G36" s="704">
        <v>61</v>
      </c>
      <c r="H36" s="156">
        <v>512.57000000000005</v>
      </c>
      <c r="I36" s="704">
        <f>652+17</f>
        <v>669</v>
      </c>
      <c r="J36" s="156">
        <v>623.69000000000005</v>
      </c>
      <c r="K36" s="704">
        <f>91+409+79+27+251+8</f>
        <v>865</v>
      </c>
      <c r="L36" s="156">
        <v>1076.1500000000001</v>
      </c>
      <c r="M36" s="704">
        <v>1036</v>
      </c>
      <c r="N36" s="156">
        <f>62+49-10</f>
        <v>101</v>
      </c>
      <c r="O36" s="704">
        <f>74+45+190</f>
        <v>309</v>
      </c>
      <c r="P36" s="156">
        <v>110</v>
      </c>
      <c r="Q36" s="704">
        <v>133</v>
      </c>
      <c r="R36" s="156">
        <v>165.18</v>
      </c>
      <c r="S36" s="704">
        <f>38+147</f>
        <v>185</v>
      </c>
      <c r="T36" s="156">
        <v>97</v>
      </c>
      <c r="U36" s="704">
        <v>89</v>
      </c>
      <c r="V36" s="156">
        <f>3651+6418</f>
        <v>10069</v>
      </c>
      <c r="W36" s="704">
        <f>4206+7714</f>
        <v>11920</v>
      </c>
      <c r="X36" s="156">
        <v>57943</v>
      </c>
      <c r="Y36" s="704"/>
      <c r="Z36" s="243">
        <f>133.97+52.64</f>
        <v>186.61</v>
      </c>
      <c r="AA36" s="704"/>
      <c r="AB36" s="156">
        <v>64.5</v>
      </c>
      <c r="AC36" s="704">
        <f>69</f>
        <v>69</v>
      </c>
      <c r="AD36" s="517">
        <f>1282.37+127.28-74.6</f>
        <v>1335.05</v>
      </c>
      <c r="AE36" s="704">
        <f>1203+207+692</f>
        <v>2102</v>
      </c>
      <c r="AF36" s="471">
        <f>117.28+472.53</f>
        <v>589.80999999999995</v>
      </c>
      <c r="AG36" s="704">
        <f>537+2507+200+788</f>
        <v>4032</v>
      </c>
      <c r="AH36" s="156">
        <v>-85.33</v>
      </c>
      <c r="AI36" s="704">
        <v>253</v>
      </c>
      <c r="AJ36" s="156">
        <f>1411+190</f>
        <v>1601</v>
      </c>
      <c r="AK36" s="704">
        <f>338+374</f>
        <v>712</v>
      </c>
      <c r="AL36" s="470"/>
      <c r="AM36" s="704"/>
      <c r="AN36" s="718">
        <v>2069.08</v>
      </c>
      <c r="AO36" s="714">
        <f>3057+948</f>
        <v>4005</v>
      </c>
      <c r="AP36" s="471">
        <f>82+754</f>
        <v>836</v>
      </c>
      <c r="AQ36" s="704">
        <f>1027+581</f>
        <v>1608</v>
      </c>
      <c r="AR36" s="155">
        <v>117.65</v>
      </c>
      <c r="AS36" s="704">
        <v>189</v>
      </c>
      <c r="AT36" s="156">
        <f>59.5+483.07</f>
        <v>542.56999999999994</v>
      </c>
      <c r="AU36" s="704">
        <f>65+570</f>
        <v>635</v>
      </c>
      <c r="AV36" s="489">
        <f t="shared" si="0"/>
        <v>78513.55</v>
      </c>
      <c r="AW36" s="489">
        <f t="shared" si="1"/>
        <v>29387</v>
      </c>
      <c r="AX36" s="156"/>
      <c r="AY36" s="704"/>
      <c r="AZ36" s="157">
        <f t="shared" si="2"/>
        <v>78513.55</v>
      </c>
      <c r="BA36" s="994">
        <f t="shared" si="3"/>
        <v>29387</v>
      </c>
    </row>
    <row r="37" spans="1:53" ht="17.25" thickBot="1">
      <c r="A37" s="159" t="s">
        <v>107</v>
      </c>
      <c r="B37" s="160">
        <v>1398.69</v>
      </c>
      <c r="C37" s="704">
        <v>1539</v>
      </c>
      <c r="D37" s="707"/>
      <c r="E37" s="704"/>
      <c r="F37" s="707"/>
      <c r="G37" s="704"/>
      <c r="H37" s="707">
        <v>1009.72</v>
      </c>
      <c r="I37" s="704"/>
      <c r="J37" s="707"/>
      <c r="K37" s="704"/>
      <c r="L37" s="707"/>
      <c r="M37" s="704"/>
      <c r="N37" s="707"/>
      <c r="O37" s="704"/>
      <c r="P37" s="707"/>
      <c r="Q37" s="704"/>
      <c r="R37" s="707"/>
      <c r="S37" s="704"/>
      <c r="T37" s="707">
        <v>412</v>
      </c>
      <c r="U37" s="704">
        <v>222</v>
      </c>
      <c r="V37" s="707"/>
      <c r="W37" s="704"/>
      <c r="X37" s="707"/>
      <c r="Y37" s="704"/>
      <c r="Z37" s="723"/>
      <c r="AA37" s="704">
        <f>42+197</f>
        <v>239</v>
      </c>
      <c r="AB37" s="707"/>
      <c r="AC37" s="704"/>
      <c r="AD37" s="722"/>
      <c r="AE37" s="704"/>
      <c r="AF37" s="715"/>
      <c r="AG37" s="704"/>
      <c r="AH37" s="707"/>
      <c r="AI37" s="704"/>
      <c r="AJ37" s="707"/>
      <c r="AK37" s="704"/>
      <c r="AL37" s="720"/>
      <c r="AM37" s="704"/>
      <c r="AN37" s="719"/>
      <c r="AO37" s="714"/>
      <c r="AP37" s="715"/>
      <c r="AQ37" s="704"/>
      <c r="AR37" s="995"/>
      <c r="AS37" s="996"/>
      <c r="AT37" s="707"/>
      <c r="AU37" s="996"/>
      <c r="AV37" s="997">
        <f t="shared" si="0"/>
        <v>2820.41</v>
      </c>
      <c r="AW37" s="997">
        <f t="shared" si="1"/>
        <v>2000</v>
      </c>
      <c r="AX37" s="707"/>
      <c r="AY37" s="996"/>
      <c r="AZ37" s="998">
        <f t="shared" si="2"/>
        <v>2820.41</v>
      </c>
      <c r="BA37" s="999">
        <f t="shared" si="3"/>
        <v>2000</v>
      </c>
    </row>
    <row r="38" spans="1:53" s="387" customFormat="1" ht="18.75" thickBot="1">
      <c r="A38" s="597" t="s">
        <v>54</v>
      </c>
      <c r="B38" s="600">
        <f>SUM(B5:B37)</f>
        <v>56843.799999999996</v>
      </c>
      <c r="C38" s="709">
        <f t="shared" ref="C38:AH38" si="4">SUM(C5:C37)</f>
        <v>66056</v>
      </c>
      <c r="D38" s="600">
        <f t="shared" si="4"/>
        <v>10323</v>
      </c>
      <c r="E38" s="709">
        <f t="shared" si="4"/>
        <v>8612</v>
      </c>
      <c r="F38" s="600">
        <f t="shared" si="4"/>
        <v>13942</v>
      </c>
      <c r="G38" s="709">
        <f t="shared" si="4"/>
        <v>13584</v>
      </c>
      <c r="H38" s="600">
        <f t="shared" si="4"/>
        <v>76932.23000000001</v>
      </c>
      <c r="I38" s="709">
        <f t="shared" si="4"/>
        <v>115842</v>
      </c>
      <c r="J38" s="600">
        <f t="shared" si="4"/>
        <v>28759.509999999995</v>
      </c>
      <c r="K38" s="709">
        <f t="shared" si="4"/>
        <v>40305</v>
      </c>
      <c r="L38" s="600">
        <f t="shared" si="4"/>
        <v>27331.149999999998</v>
      </c>
      <c r="M38" s="709">
        <f t="shared" si="4"/>
        <v>31424</v>
      </c>
      <c r="N38" s="600">
        <f t="shared" si="4"/>
        <v>12262.61</v>
      </c>
      <c r="O38" s="709">
        <f t="shared" si="4"/>
        <v>12725</v>
      </c>
      <c r="P38" s="600">
        <f t="shared" si="4"/>
        <v>25797.24</v>
      </c>
      <c r="Q38" s="709">
        <f t="shared" si="4"/>
        <v>23987</v>
      </c>
      <c r="R38" s="600">
        <f t="shared" si="4"/>
        <v>29345.18</v>
      </c>
      <c r="S38" s="709">
        <f t="shared" si="4"/>
        <v>32206</v>
      </c>
      <c r="T38" s="600">
        <f t="shared" si="4"/>
        <v>24071</v>
      </c>
      <c r="U38" s="709">
        <f t="shared" si="4"/>
        <v>22093</v>
      </c>
      <c r="V38" s="600">
        <f>SUM(V5:V37)</f>
        <v>176857</v>
      </c>
      <c r="W38" s="709">
        <f t="shared" si="4"/>
        <v>230112</v>
      </c>
      <c r="X38" s="600">
        <f t="shared" si="4"/>
        <v>11338854</v>
      </c>
      <c r="Y38" s="709">
        <f t="shared" si="4"/>
        <v>0</v>
      </c>
      <c r="Z38" s="600">
        <f t="shared" si="4"/>
        <v>9984.8000000000011</v>
      </c>
      <c r="AA38" s="709">
        <f t="shared" si="4"/>
        <v>12551</v>
      </c>
      <c r="AB38" s="600">
        <f t="shared" si="4"/>
        <v>23440.15</v>
      </c>
      <c r="AC38" s="709">
        <f t="shared" si="4"/>
        <v>30435.43</v>
      </c>
      <c r="AD38" s="600">
        <f t="shared" si="4"/>
        <v>64493.290000000015</v>
      </c>
      <c r="AE38" s="709">
        <f t="shared" si="4"/>
        <v>74055</v>
      </c>
      <c r="AF38" s="600">
        <f t="shared" si="4"/>
        <v>112324.45</v>
      </c>
      <c r="AG38" s="709">
        <f t="shared" si="4"/>
        <v>138489</v>
      </c>
      <c r="AH38" s="600">
        <f t="shared" si="4"/>
        <v>44682.71</v>
      </c>
      <c r="AI38" s="709">
        <f t="shared" ref="AI38:AU38" si="5">SUM(AI5:AI37)</f>
        <v>50899</v>
      </c>
      <c r="AJ38" s="600">
        <f t="shared" si="5"/>
        <v>50670</v>
      </c>
      <c r="AK38" s="709">
        <f t="shared" si="5"/>
        <v>51078</v>
      </c>
      <c r="AL38" s="600">
        <f t="shared" si="5"/>
        <v>0</v>
      </c>
      <c r="AM38" s="709">
        <f t="shared" si="5"/>
        <v>0</v>
      </c>
      <c r="AN38" s="600">
        <f t="shared" si="5"/>
        <v>112580.05000000002</v>
      </c>
      <c r="AO38" s="709">
        <f t="shared" si="5"/>
        <v>133259</v>
      </c>
      <c r="AP38" s="600">
        <f t="shared" si="5"/>
        <v>21843.03</v>
      </c>
      <c r="AQ38" s="709">
        <f t="shared" si="5"/>
        <v>24269</v>
      </c>
      <c r="AR38" s="1006">
        <f t="shared" si="5"/>
        <v>17686.629999999997</v>
      </c>
      <c r="AS38" s="1007">
        <f t="shared" si="5"/>
        <v>21630</v>
      </c>
      <c r="AT38" s="1006">
        <f t="shared" si="5"/>
        <v>77044.219999999987</v>
      </c>
      <c r="AU38" s="1007">
        <f t="shared" si="5"/>
        <v>109421</v>
      </c>
      <c r="AV38" s="1008">
        <f>SUM(B38+D38+F38+H38+J38+L38+N38+P38+R38+T38+V38+X38+Z38+AB38+AD38+AF38+AH38+AJ38+AL38+AN38+AP38+AR38+AT38)</f>
        <v>12356068.050000003</v>
      </c>
      <c r="AW38" s="1009">
        <f>SUM(C38+E38+G38+I38+K38+M38+O38+Q38+S38+U38+W38+Y38+AA38+AC38+AE38+AG38+AI38+AK38+AM38+AO38+AQ38+AS38+AU38)</f>
        <v>1243032.4300000002</v>
      </c>
      <c r="AX38" s="1010">
        <f>SUM(AX5:AX37)</f>
        <v>0</v>
      </c>
      <c r="AY38" s="1010">
        <f>SUM(AY5:AY37)</f>
        <v>0</v>
      </c>
      <c r="AZ38" s="1008">
        <f>AV38+AX38</f>
        <v>12356068.050000003</v>
      </c>
      <c r="BA38" s="1011">
        <f>AW38+AY38</f>
        <v>1243032.4300000002</v>
      </c>
    </row>
    <row r="39" spans="1:53">
      <c r="A39" s="598" t="s">
        <v>108</v>
      </c>
      <c r="B39" s="601"/>
      <c r="C39" s="706"/>
      <c r="D39" s="708"/>
      <c r="E39" s="705"/>
      <c r="F39" s="708"/>
      <c r="G39" s="705"/>
      <c r="H39" s="708"/>
      <c r="I39" s="705"/>
      <c r="J39" s="708"/>
      <c r="K39" s="705"/>
      <c r="L39" s="708"/>
      <c r="M39" s="705"/>
      <c r="N39" s="708"/>
      <c r="O39" s="705"/>
      <c r="P39" s="708"/>
      <c r="Q39" s="705"/>
      <c r="R39" s="708"/>
      <c r="S39" s="705"/>
      <c r="T39" s="708"/>
      <c r="U39" s="705"/>
      <c r="V39" s="708"/>
      <c r="W39" s="705"/>
      <c r="X39" s="708"/>
      <c r="Y39" s="705"/>
      <c r="Z39" s="713"/>
      <c r="AA39" s="710"/>
      <c r="AB39" s="708"/>
      <c r="AC39" s="705"/>
      <c r="AD39" s="708"/>
      <c r="AE39" s="705"/>
      <c r="AF39" s="716"/>
      <c r="AG39" s="712"/>
      <c r="AH39" s="708"/>
      <c r="AI39" s="705"/>
      <c r="AJ39" s="708"/>
      <c r="AK39" s="705"/>
      <c r="AL39" s="721"/>
      <c r="AM39" s="705"/>
      <c r="AN39" s="708"/>
      <c r="AO39" s="705"/>
      <c r="AP39" s="716"/>
      <c r="AQ39" s="712"/>
      <c r="AR39" s="1000"/>
      <c r="AS39" s="1001"/>
      <c r="AT39" s="1002"/>
      <c r="AU39" s="1003"/>
      <c r="AV39" s="489">
        <f>SUM(B39+D39+F39+H39+J39+L39+N39+P39+R39+T39+V39+X39+Z39+AB39+AD39+AF39+AH39+AJ39+AL39+AN39+AP39+AR39+AT39)</f>
        <v>0</v>
      </c>
      <c r="AW39" s="1004">
        <f>SUM(C39+E39+G39+I39+K39+M39+O39+Q39+S39+U39+W39+Y39+AA39+AC39+AE39+AG39+AI39+AK39+AM39+AO39+AQ39+AS39+AU39)</f>
        <v>0</v>
      </c>
      <c r="AX39" s="1002"/>
      <c r="AY39" s="1003"/>
      <c r="AZ39" s="489">
        <f>AV39+AX39</f>
        <v>0</v>
      </c>
      <c r="BA39" s="1005"/>
    </row>
    <row r="40" spans="1:53" ht="17.25" thickBot="1">
      <c r="A40" s="599"/>
      <c r="B40" s="430"/>
      <c r="C40" s="475"/>
      <c r="D40" s="430"/>
      <c r="E40" s="475"/>
      <c r="F40" s="430"/>
      <c r="G40" s="475"/>
      <c r="H40" s="430"/>
      <c r="I40" s="475"/>
      <c r="J40" s="430"/>
      <c r="K40" s="475"/>
      <c r="L40" s="430"/>
      <c r="M40" s="475"/>
      <c r="N40" s="430"/>
      <c r="O40" s="475"/>
      <c r="P40" s="430"/>
      <c r="Q40" s="475"/>
      <c r="R40" s="430"/>
      <c r="S40" s="475"/>
      <c r="T40" s="430"/>
      <c r="U40" s="475"/>
      <c r="V40" s="430"/>
      <c r="W40" s="475"/>
      <c r="X40" s="430"/>
      <c r="Y40" s="475"/>
      <c r="Z40" s="430"/>
      <c r="AA40" s="475"/>
      <c r="AB40" s="430"/>
      <c r="AC40" s="475"/>
      <c r="AD40" s="430"/>
      <c r="AE40" s="475"/>
      <c r="AF40" s="430"/>
      <c r="AG40" s="475"/>
      <c r="AH40" s="430"/>
      <c r="AI40" s="475"/>
      <c r="AJ40" s="430"/>
      <c r="AK40" s="475"/>
      <c r="AL40" s="430"/>
      <c r="AM40" s="475"/>
      <c r="AN40" s="430"/>
      <c r="AO40" s="475"/>
      <c r="AP40" s="430"/>
      <c r="AQ40" s="475"/>
      <c r="AR40" s="430"/>
      <c r="AS40" s="475"/>
      <c r="AT40" s="430"/>
      <c r="AU40" s="475"/>
      <c r="AV40" s="430"/>
      <c r="AW40" s="475"/>
      <c r="AX40" s="430"/>
      <c r="AY40" s="475"/>
      <c r="AZ40" s="430"/>
      <c r="BA40" s="431"/>
    </row>
  </sheetData>
  <mergeCells count="29">
    <mergeCell ref="AT3:AU3"/>
    <mergeCell ref="AV3:AW3"/>
    <mergeCell ref="AX3:AY3"/>
    <mergeCell ref="A1:AZ1"/>
    <mergeCell ref="A2:AZ2"/>
    <mergeCell ref="A3:A4"/>
    <mergeCell ref="B3:C3"/>
    <mergeCell ref="D3:E3"/>
    <mergeCell ref="AJ3:AK3"/>
    <mergeCell ref="AZ3:BA3"/>
    <mergeCell ref="AN3:AO3"/>
    <mergeCell ref="AP3:AQ3"/>
    <mergeCell ref="AR3:AS3"/>
    <mergeCell ref="AL3:AM3"/>
    <mergeCell ref="P3:Q3"/>
    <mergeCell ref="R3:S3"/>
    <mergeCell ref="AF3:AG3"/>
    <mergeCell ref="AH3:AI3"/>
    <mergeCell ref="X3:Y3"/>
    <mergeCell ref="F3:G3"/>
    <mergeCell ref="H3:I3"/>
    <mergeCell ref="J3:K3"/>
    <mergeCell ref="L3:M3"/>
    <mergeCell ref="N3:O3"/>
    <mergeCell ref="T3:U3"/>
    <mergeCell ref="V3:W3"/>
    <mergeCell ref="Z3:AA3"/>
    <mergeCell ref="AB3:AC3"/>
    <mergeCell ref="AD3:A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G39"/>
  <sheetViews>
    <sheetView workbookViewId="0">
      <pane xSplit="1" topLeftCell="X1" activePane="topRight" state="frozen"/>
      <selection pane="topRight" activeCell="Y39" sqref="Y39"/>
    </sheetView>
  </sheetViews>
  <sheetFormatPr defaultRowHeight="15"/>
  <cols>
    <col min="1" max="1" width="37.28515625" style="135" bestFit="1" customWidth="1"/>
    <col min="2" max="21" width="12.42578125" bestFit="1" customWidth="1"/>
    <col min="22" max="23" width="12.42578125" style="133" bestFit="1" customWidth="1"/>
    <col min="24" max="41" width="12.42578125" bestFit="1" customWidth="1"/>
    <col min="42" max="47" width="12.42578125" style="133" bestFit="1" customWidth="1"/>
    <col min="48" max="53" width="12.42578125" style="134" bestFit="1" customWidth="1"/>
    <col min="57" max="57" width="7.7109375" bestFit="1" customWidth="1"/>
    <col min="58" max="58" width="5.5703125" bestFit="1" customWidth="1"/>
    <col min="59" max="59" width="11.5703125" customWidth="1"/>
  </cols>
  <sheetData>
    <row r="1" spans="1:59" s="66" customFormat="1" ht="13.5" customHeight="1">
      <c r="A1" s="1136" t="s">
        <v>146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  <c r="M1" s="1136"/>
      <c r="N1" s="1136"/>
      <c r="O1" s="1136"/>
      <c r="P1" s="1136"/>
      <c r="Q1" s="1136"/>
      <c r="R1" s="1136"/>
      <c r="S1" s="1136"/>
      <c r="T1" s="1136"/>
      <c r="U1" s="1136"/>
      <c r="V1" s="1136"/>
      <c r="W1" s="1136"/>
      <c r="X1" s="1136"/>
      <c r="Y1" s="1136"/>
      <c r="Z1" s="1136"/>
      <c r="AA1" s="1136"/>
      <c r="AB1" s="1136"/>
      <c r="AC1" s="1136"/>
      <c r="AD1" s="1136"/>
      <c r="AE1" s="1136"/>
      <c r="AF1" s="1136"/>
      <c r="AG1" s="1136"/>
      <c r="AH1" s="1136"/>
      <c r="AI1" s="1136"/>
      <c r="AJ1" s="1136"/>
      <c r="AK1" s="1136"/>
      <c r="AL1" s="1136"/>
      <c r="AM1" s="1136"/>
      <c r="AN1" s="1136"/>
      <c r="AO1" s="1136"/>
      <c r="AP1" s="1136"/>
      <c r="AQ1" s="1136"/>
      <c r="AR1" s="1136"/>
      <c r="AS1" s="1136"/>
      <c r="AT1" s="1136"/>
      <c r="AU1" s="1136"/>
      <c r="AV1" s="1136"/>
      <c r="AW1" s="1136"/>
      <c r="AX1" s="1136"/>
      <c r="AY1" s="1136"/>
      <c r="AZ1" s="1136"/>
      <c r="BA1" s="100"/>
    </row>
    <row r="2" spans="1:59" s="66" customFormat="1" ht="14.25" customHeight="1" thickBot="1">
      <c r="A2" s="1137" t="s">
        <v>368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1137"/>
      <c r="AH2" s="1137"/>
      <c r="AI2" s="1137"/>
      <c r="AJ2" s="1137"/>
      <c r="AK2" s="1137"/>
      <c r="AL2" s="1137"/>
      <c r="AM2" s="1137"/>
      <c r="AN2" s="1137"/>
      <c r="AO2" s="1137"/>
      <c r="AP2" s="1137"/>
      <c r="AQ2" s="1137"/>
      <c r="AR2" s="1137"/>
      <c r="AS2" s="1137"/>
      <c r="AT2" s="1137"/>
      <c r="AU2" s="1137"/>
      <c r="AV2" s="1137"/>
      <c r="AW2" s="1137"/>
      <c r="AX2" s="1137"/>
      <c r="AY2" s="1137"/>
      <c r="AZ2" s="1137"/>
      <c r="BA2" s="100"/>
    </row>
    <row r="3" spans="1:59" s="307" customFormat="1" ht="57.75" customHeight="1" thickBot="1">
      <c r="A3" s="1138" t="s">
        <v>0</v>
      </c>
      <c r="B3" s="1140" t="s">
        <v>150</v>
      </c>
      <c r="C3" s="1141"/>
      <c r="D3" s="1125" t="s">
        <v>151</v>
      </c>
      <c r="E3" s="1129"/>
      <c r="F3" s="1125" t="s">
        <v>152</v>
      </c>
      <c r="G3" s="1126"/>
      <c r="H3" s="1125" t="s">
        <v>153</v>
      </c>
      <c r="I3" s="1126"/>
      <c r="J3" s="1125" t="s">
        <v>154</v>
      </c>
      <c r="K3" s="1129"/>
      <c r="L3" s="1126" t="s">
        <v>155</v>
      </c>
      <c r="M3" s="1126"/>
      <c r="N3" s="1125" t="s">
        <v>255</v>
      </c>
      <c r="O3" s="1129"/>
      <c r="P3" s="1126" t="s">
        <v>156</v>
      </c>
      <c r="Q3" s="1126"/>
      <c r="R3" s="1125" t="s">
        <v>157</v>
      </c>
      <c r="S3" s="1126"/>
      <c r="T3" s="1125" t="s">
        <v>158</v>
      </c>
      <c r="U3" s="1126"/>
      <c r="V3" s="1130" t="s">
        <v>159</v>
      </c>
      <c r="W3" s="1143"/>
      <c r="X3" s="1125" t="s">
        <v>160</v>
      </c>
      <c r="Y3" s="1126"/>
      <c r="Z3" s="1125" t="s">
        <v>365</v>
      </c>
      <c r="AA3" s="1126"/>
      <c r="AB3" s="1125" t="s">
        <v>161</v>
      </c>
      <c r="AC3" s="1126"/>
      <c r="AD3" s="1134" t="s">
        <v>162</v>
      </c>
      <c r="AE3" s="1135"/>
      <c r="AF3" s="1125" t="s">
        <v>163</v>
      </c>
      <c r="AG3" s="1126"/>
      <c r="AH3" s="1125" t="s">
        <v>164</v>
      </c>
      <c r="AI3" s="1126"/>
      <c r="AJ3" s="1125" t="s">
        <v>165</v>
      </c>
      <c r="AK3" s="1126"/>
      <c r="AL3" s="1134" t="s">
        <v>258</v>
      </c>
      <c r="AM3" s="1142"/>
      <c r="AN3" s="1125" t="s">
        <v>167</v>
      </c>
      <c r="AO3" s="1129"/>
      <c r="AP3" s="1130" t="s">
        <v>168</v>
      </c>
      <c r="AQ3" s="1131"/>
      <c r="AR3" s="1130" t="s">
        <v>169</v>
      </c>
      <c r="AS3" s="1131"/>
      <c r="AT3" s="1130" t="s">
        <v>170</v>
      </c>
      <c r="AU3" s="1131"/>
      <c r="AV3" s="1130" t="s">
        <v>1</v>
      </c>
      <c r="AW3" s="1131"/>
      <c r="AX3" s="1132" t="s">
        <v>171</v>
      </c>
      <c r="AY3" s="1133"/>
      <c r="AZ3" s="1127" t="s">
        <v>2</v>
      </c>
      <c r="BA3" s="1128"/>
    </row>
    <row r="4" spans="1:59" s="350" customFormat="1" ht="15" customHeight="1" thickBot="1">
      <c r="A4" s="1139"/>
      <c r="B4" s="423" t="s">
        <v>254</v>
      </c>
      <c r="C4" s="399" t="s">
        <v>358</v>
      </c>
      <c r="D4" s="423" t="s">
        <v>254</v>
      </c>
      <c r="E4" s="399" t="s">
        <v>358</v>
      </c>
      <c r="F4" s="423" t="s">
        <v>254</v>
      </c>
      <c r="G4" s="399" t="s">
        <v>358</v>
      </c>
      <c r="H4" s="423" t="s">
        <v>254</v>
      </c>
      <c r="I4" s="399" t="s">
        <v>358</v>
      </c>
      <c r="J4" s="423" t="s">
        <v>254</v>
      </c>
      <c r="K4" s="399" t="s">
        <v>358</v>
      </c>
      <c r="L4" s="423" t="s">
        <v>254</v>
      </c>
      <c r="M4" s="399" t="s">
        <v>358</v>
      </c>
      <c r="N4" s="423" t="s">
        <v>254</v>
      </c>
      <c r="O4" s="399" t="s">
        <v>358</v>
      </c>
      <c r="P4" s="423" t="s">
        <v>254</v>
      </c>
      <c r="Q4" s="399" t="s">
        <v>358</v>
      </c>
      <c r="R4" s="423" t="s">
        <v>254</v>
      </c>
      <c r="S4" s="399" t="s">
        <v>358</v>
      </c>
      <c r="T4" s="423" t="s">
        <v>254</v>
      </c>
      <c r="U4" s="399" t="s">
        <v>358</v>
      </c>
      <c r="V4" s="423" t="s">
        <v>254</v>
      </c>
      <c r="W4" s="399" t="s">
        <v>358</v>
      </c>
      <c r="X4" s="423" t="s">
        <v>254</v>
      </c>
      <c r="Y4" s="399" t="s">
        <v>358</v>
      </c>
      <c r="Z4" s="423" t="s">
        <v>254</v>
      </c>
      <c r="AA4" s="399" t="s">
        <v>358</v>
      </c>
      <c r="AB4" s="423" t="s">
        <v>254</v>
      </c>
      <c r="AC4" s="399" t="s">
        <v>358</v>
      </c>
      <c r="AD4" s="423" t="s">
        <v>254</v>
      </c>
      <c r="AE4" s="399" t="s">
        <v>358</v>
      </c>
      <c r="AF4" s="423" t="s">
        <v>254</v>
      </c>
      <c r="AG4" s="399" t="s">
        <v>358</v>
      </c>
      <c r="AH4" s="423" t="s">
        <v>254</v>
      </c>
      <c r="AI4" s="399" t="s">
        <v>358</v>
      </c>
      <c r="AJ4" s="423" t="s">
        <v>254</v>
      </c>
      <c r="AK4" s="399" t="s">
        <v>358</v>
      </c>
      <c r="AL4" s="423" t="s">
        <v>254</v>
      </c>
      <c r="AM4" s="399" t="s">
        <v>358</v>
      </c>
      <c r="AN4" s="949" t="s">
        <v>254</v>
      </c>
      <c r="AO4" s="993" t="s">
        <v>358</v>
      </c>
      <c r="AP4" s="423" t="s">
        <v>254</v>
      </c>
      <c r="AQ4" s="399" t="s">
        <v>358</v>
      </c>
      <c r="AR4" s="423" t="s">
        <v>254</v>
      </c>
      <c r="AS4" s="399" t="s">
        <v>358</v>
      </c>
      <c r="AT4" s="423" t="s">
        <v>254</v>
      </c>
      <c r="AU4" s="399" t="s">
        <v>358</v>
      </c>
      <c r="AV4" s="423" t="s">
        <v>254</v>
      </c>
      <c r="AW4" s="399" t="s">
        <v>358</v>
      </c>
      <c r="AX4" s="423" t="s">
        <v>254</v>
      </c>
      <c r="AY4" s="399" t="s">
        <v>358</v>
      </c>
      <c r="AZ4" s="423" t="s">
        <v>254</v>
      </c>
      <c r="BA4" s="399" t="s">
        <v>358</v>
      </c>
    </row>
    <row r="5" spans="1:59" s="70" customFormat="1" ht="15" customHeight="1">
      <c r="A5" s="313" t="s">
        <v>30</v>
      </c>
      <c r="B5" s="136"/>
      <c r="C5" s="138"/>
      <c r="D5" s="136"/>
      <c r="E5" s="138"/>
      <c r="F5" s="142"/>
      <c r="G5" s="145"/>
      <c r="H5" s="144"/>
      <c r="I5" s="145"/>
      <c r="J5" s="144"/>
      <c r="K5" s="140"/>
      <c r="L5" s="142"/>
      <c r="M5" s="145"/>
      <c r="N5" s="144"/>
      <c r="O5" s="140"/>
      <c r="P5" s="139"/>
      <c r="Q5" s="137"/>
      <c r="R5" s="137"/>
      <c r="S5" s="143"/>
      <c r="T5" s="136"/>
      <c r="U5" s="143"/>
      <c r="V5" s="144"/>
      <c r="W5" s="145"/>
      <c r="X5" s="136"/>
      <c r="Y5" s="143"/>
      <c r="Z5" s="170"/>
      <c r="AA5" s="172"/>
      <c r="AB5" s="139"/>
      <c r="AC5" s="143"/>
      <c r="AD5" s="136"/>
      <c r="AE5" s="143"/>
      <c r="AF5" s="136"/>
      <c r="AG5" s="143"/>
      <c r="AH5" s="136"/>
      <c r="AI5" s="143"/>
      <c r="AJ5" s="136"/>
      <c r="AK5" s="143"/>
      <c r="AL5" s="170"/>
      <c r="AM5" s="842"/>
      <c r="AN5" s="170"/>
      <c r="AO5" s="172"/>
      <c r="AP5" s="141"/>
      <c r="AQ5" s="140"/>
      <c r="AR5" s="144"/>
      <c r="AS5" s="140"/>
      <c r="AT5" s="144"/>
      <c r="AU5" s="140"/>
      <c r="AV5" s="144"/>
      <c r="AW5" s="140"/>
      <c r="AX5" s="141"/>
      <c r="AY5" s="142"/>
      <c r="AZ5" s="142"/>
      <c r="BA5" s="146"/>
    </row>
    <row r="6" spans="1:59" s="70" customFormat="1" ht="14.25">
      <c r="A6" s="312" t="s">
        <v>31</v>
      </c>
      <c r="B6" s="101">
        <v>32525.95</v>
      </c>
      <c r="C6" s="71">
        <v>109212</v>
      </c>
      <c r="D6" s="72">
        <v>4860.45</v>
      </c>
      <c r="E6" s="74">
        <v>26063</v>
      </c>
      <c r="F6" s="77">
        <v>5194</v>
      </c>
      <c r="G6" s="86">
        <v>24378</v>
      </c>
      <c r="H6" s="76">
        <v>50174.71</v>
      </c>
      <c r="I6" s="86">
        <v>139809</v>
      </c>
      <c r="J6" s="76">
        <v>7024.92</v>
      </c>
      <c r="K6" s="78">
        <v>26759</v>
      </c>
      <c r="L6" s="77">
        <v>12137.63</v>
      </c>
      <c r="M6" s="86">
        <v>47178</v>
      </c>
      <c r="N6" s="76">
        <v>10176.23</v>
      </c>
      <c r="O6" s="594">
        <v>23158</v>
      </c>
      <c r="P6" s="102">
        <v>4468</v>
      </c>
      <c r="Q6" s="73">
        <v>17885</v>
      </c>
      <c r="R6" s="73">
        <v>13988</v>
      </c>
      <c r="S6" s="75">
        <v>48649</v>
      </c>
      <c r="T6" s="72">
        <v>7081</v>
      </c>
      <c r="U6" s="75">
        <v>21254</v>
      </c>
      <c r="V6" s="102">
        <v>95360</v>
      </c>
      <c r="W6" s="86">
        <v>364338</v>
      </c>
      <c r="X6" s="72">
        <v>113035.49</v>
      </c>
      <c r="Y6" s="75">
        <v>178190</v>
      </c>
      <c r="Z6" s="847">
        <v>4889.78</v>
      </c>
      <c r="AA6" s="80">
        <v>3574</v>
      </c>
      <c r="AB6" s="102">
        <v>19745.78</v>
      </c>
      <c r="AC6" s="75">
        <v>68578.7</v>
      </c>
      <c r="AD6" s="72">
        <v>46197.77</v>
      </c>
      <c r="AE6" s="75">
        <v>138294</v>
      </c>
      <c r="AF6" s="72">
        <v>54856.51</v>
      </c>
      <c r="AG6" s="75">
        <v>242519</v>
      </c>
      <c r="AH6" s="72">
        <v>29638.98</v>
      </c>
      <c r="AI6" s="75">
        <v>117837</v>
      </c>
      <c r="AJ6" s="72">
        <v>7887.11</v>
      </c>
      <c r="AK6" s="75">
        <v>24466</v>
      </c>
      <c r="AL6" s="72"/>
      <c r="AM6" s="75"/>
      <c r="AN6" s="173">
        <v>104752.35</v>
      </c>
      <c r="AO6" s="174">
        <v>369472</v>
      </c>
      <c r="AP6" s="991">
        <v>8943.51</v>
      </c>
      <c r="AQ6" s="595">
        <v>28592</v>
      </c>
      <c r="AR6" s="91">
        <v>8783.16</v>
      </c>
      <c r="AS6" s="93">
        <v>41596</v>
      </c>
      <c r="AT6" s="76">
        <v>30564.44</v>
      </c>
      <c r="AU6" s="78">
        <v>141496</v>
      </c>
      <c r="AV6" s="106">
        <f>SUM(B6+D6+F6+H6+J6+L6+N6+P6+R6+T6+V6+X6+Z6+AB6+AD6+AF6+AH6+AJ6+AL6+AN6+AP6+AR6+AT6)</f>
        <v>672285.77</v>
      </c>
      <c r="AW6" s="106">
        <f>SUM(C6+E6+G6+I6+K6+M6+O6+Q6+S6+U6+W6+Y6+AA6+AC6+AE6+AG6+AI6+AK6+AM6+AO6+AQ6+AS6+AU6)</f>
        <v>2203297.7000000002</v>
      </c>
      <c r="AX6" s="266"/>
      <c r="AY6" s="92"/>
      <c r="AZ6" s="104">
        <f>AV6+AX6</f>
        <v>672285.77</v>
      </c>
      <c r="BA6" s="104">
        <f>AW6+AY6</f>
        <v>2203297.7000000002</v>
      </c>
    </row>
    <row r="7" spans="1:59" s="70" customFormat="1" ht="14.25">
      <c r="A7" s="312" t="s">
        <v>32</v>
      </c>
      <c r="B7" s="101">
        <v>47351.59</v>
      </c>
      <c r="C7" s="71">
        <v>70374</v>
      </c>
      <c r="D7" s="72">
        <v>909.28</v>
      </c>
      <c r="E7" s="74">
        <v>1484</v>
      </c>
      <c r="F7" s="77">
        <v>9412</v>
      </c>
      <c r="G7" s="86">
        <v>8477</v>
      </c>
      <c r="H7" s="76">
        <v>44018.09</v>
      </c>
      <c r="I7" s="86">
        <v>60102</v>
      </c>
      <c r="J7" s="76">
        <v>2164.4499999999998</v>
      </c>
      <c r="K7" s="78">
        <v>2013</v>
      </c>
      <c r="L7" s="77">
        <v>2248.4699999999998</v>
      </c>
      <c r="M7" s="86">
        <v>14409</v>
      </c>
      <c r="N7" s="76">
        <v>113</v>
      </c>
      <c r="O7" s="594">
        <v>1853</v>
      </c>
      <c r="P7" s="102"/>
      <c r="Q7" s="73">
        <v>46</v>
      </c>
      <c r="R7" s="73">
        <v>29107</v>
      </c>
      <c r="S7" s="75">
        <v>29001</v>
      </c>
      <c r="T7" s="72">
        <v>2887</v>
      </c>
      <c r="U7" s="75">
        <v>2464</v>
      </c>
      <c r="V7" s="102">
        <v>185213</v>
      </c>
      <c r="W7" s="86">
        <v>371254</v>
      </c>
      <c r="X7" s="72">
        <v>115035.1</v>
      </c>
      <c r="Y7" s="75">
        <v>91114</v>
      </c>
      <c r="Z7" s="847">
        <v>13298.23</v>
      </c>
      <c r="AA7" s="80">
        <v>8592</v>
      </c>
      <c r="AB7" s="102">
        <v>4899.8500000000004</v>
      </c>
      <c r="AC7" s="75">
        <v>4064.96</v>
      </c>
      <c r="AD7" s="72">
        <v>69816.88</v>
      </c>
      <c r="AE7" s="75">
        <v>94353</v>
      </c>
      <c r="AF7" s="72">
        <v>40001.46</v>
      </c>
      <c r="AG7" s="75">
        <v>39275</v>
      </c>
      <c r="AH7" s="72">
        <v>8493.4500000000007</v>
      </c>
      <c r="AI7" s="75">
        <v>7050</v>
      </c>
      <c r="AJ7" s="72">
        <v>30037.01</v>
      </c>
      <c r="AK7" s="75">
        <v>51426</v>
      </c>
      <c r="AL7" s="72"/>
      <c r="AM7" s="75"/>
      <c r="AN7" s="173">
        <v>303892.26</v>
      </c>
      <c r="AO7" s="174">
        <v>681561</v>
      </c>
      <c r="AP7" s="991">
        <v>4402.96</v>
      </c>
      <c r="AQ7" s="595">
        <v>5739</v>
      </c>
      <c r="AR7" s="91">
        <v>8064.88</v>
      </c>
      <c r="AS7" s="93">
        <v>14926</v>
      </c>
      <c r="AT7" s="76">
        <v>27680.83</v>
      </c>
      <c r="AU7" s="78">
        <v>32305</v>
      </c>
      <c r="AV7" s="106">
        <f t="shared" ref="AV7:AV38" si="0">SUM(B7+D7+F7+H7+J7+L7+N7+P7+R7+T7+V7+X7+Z7+AB7+AD7+AF7+AH7+AJ7+AL7+AN7+AP7+AR7+AT7)</f>
        <v>949046.7899999998</v>
      </c>
      <c r="AW7" s="106">
        <f t="shared" ref="AW7:AW38" si="1">SUM(C7+E7+G7+I7+K7+M7+O7+Q7+S7+U7+W7+Y7+AA7+AC7+AE7+AG7+AI7+AK7+AM7+AO7+AQ7+AS7+AU7)</f>
        <v>1591882.96</v>
      </c>
      <c r="AX7" s="266"/>
      <c r="AY7" s="92"/>
      <c r="AZ7" s="104">
        <f t="shared" ref="AZ7:AZ38" si="2">AV7+AX7</f>
        <v>949046.7899999998</v>
      </c>
      <c r="BA7" s="104">
        <f>AW7+AY7</f>
        <v>1591882.96</v>
      </c>
    </row>
    <row r="8" spans="1:59" s="70" customFormat="1" ht="14.25">
      <c r="A8" s="312" t="s">
        <v>33</v>
      </c>
      <c r="B8" s="101">
        <v>708.31</v>
      </c>
      <c r="C8" s="71">
        <v>950</v>
      </c>
      <c r="D8" s="72">
        <v>0.87</v>
      </c>
      <c r="E8" s="74">
        <v>1</v>
      </c>
      <c r="F8" s="77">
        <v>11343</v>
      </c>
      <c r="G8" s="86">
        <v>2445</v>
      </c>
      <c r="H8" s="76">
        <v>1085.46</v>
      </c>
      <c r="I8" s="86">
        <v>1174</v>
      </c>
      <c r="J8" s="76"/>
      <c r="K8" s="78"/>
      <c r="L8" s="77">
        <v>679.62</v>
      </c>
      <c r="M8" s="86">
        <v>1687</v>
      </c>
      <c r="N8" s="76"/>
      <c r="O8" s="594"/>
      <c r="P8" s="102">
        <v>91</v>
      </c>
      <c r="Q8" s="73">
        <v>92</v>
      </c>
      <c r="R8" s="73">
        <v>370</v>
      </c>
      <c r="S8" s="75">
        <v>556</v>
      </c>
      <c r="T8" s="72">
        <v>24</v>
      </c>
      <c r="U8" s="75">
        <v>25</v>
      </c>
      <c r="V8" s="76">
        <v>18520</v>
      </c>
      <c r="W8" s="86">
        <v>30044</v>
      </c>
      <c r="X8" s="72">
        <v>13744.16</v>
      </c>
      <c r="Y8" s="75">
        <v>9891</v>
      </c>
      <c r="Z8" s="847">
        <v>26.79</v>
      </c>
      <c r="AA8" s="80">
        <v>18</v>
      </c>
      <c r="AB8" s="102">
        <v>7.38</v>
      </c>
      <c r="AC8" s="75">
        <v>24.92</v>
      </c>
      <c r="AD8" s="72">
        <v>1177.19</v>
      </c>
      <c r="AE8" s="75">
        <v>1972</v>
      </c>
      <c r="AF8" s="72">
        <v>685.79</v>
      </c>
      <c r="AG8" s="75">
        <v>1162</v>
      </c>
      <c r="AH8" s="72">
        <v>963.23</v>
      </c>
      <c r="AI8" s="75">
        <v>1737</v>
      </c>
      <c r="AJ8" s="72">
        <v>276.99</v>
      </c>
      <c r="AK8" s="75">
        <v>400</v>
      </c>
      <c r="AL8" s="72"/>
      <c r="AM8" s="75"/>
      <c r="AN8" s="173">
        <v>15430.28</v>
      </c>
      <c r="AO8" s="174">
        <v>24911</v>
      </c>
      <c r="AP8" s="991">
        <v>25.81</v>
      </c>
      <c r="AQ8" s="595">
        <v>131</v>
      </c>
      <c r="AR8" s="91">
        <v>780.06</v>
      </c>
      <c r="AS8" s="93">
        <v>1132</v>
      </c>
      <c r="AT8" s="76">
        <v>605.41999999999996</v>
      </c>
      <c r="AU8" s="78">
        <v>1219</v>
      </c>
      <c r="AV8" s="106">
        <f t="shared" si="0"/>
        <v>66545.36</v>
      </c>
      <c r="AW8" s="106">
        <f t="shared" si="1"/>
        <v>79571.92</v>
      </c>
      <c r="AX8" s="266"/>
      <c r="AY8" s="92"/>
      <c r="AZ8" s="104">
        <f t="shared" si="2"/>
        <v>66545.36</v>
      </c>
      <c r="BA8" s="104">
        <f>AW8+AY8</f>
        <v>79571.92</v>
      </c>
    </row>
    <row r="9" spans="1:59" s="70" customFormat="1" ht="14.25">
      <c r="A9" s="312" t="s">
        <v>34</v>
      </c>
      <c r="B9" s="101"/>
      <c r="C9" s="71"/>
      <c r="D9" s="72"/>
      <c r="E9" s="74"/>
      <c r="F9" s="77"/>
      <c r="G9" s="86"/>
      <c r="H9" s="76"/>
      <c r="I9" s="86"/>
      <c r="J9" s="76"/>
      <c r="K9" s="78"/>
      <c r="L9" s="77"/>
      <c r="M9" s="86"/>
      <c r="N9" s="76"/>
      <c r="O9" s="594"/>
      <c r="P9" s="102"/>
      <c r="Q9" s="73"/>
      <c r="R9" s="73">
        <v>27031</v>
      </c>
      <c r="S9" s="75">
        <v>42769</v>
      </c>
      <c r="T9" s="72">
        <v>890</v>
      </c>
      <c r="U9" s="75"/>
      <c r="V9" s="89"/>
      <c r="W9" s="86"/>
      <c r="X9" s="72"/>
      <c r="Y9" s="75"/>
      <c r="Z9" s="847"/>
      <c r="AA9" s="80"/>
      <c r="AB9" s="102"/>
      <c r="AC9" s="75"/>
      <c r="AD9" s="72"/>
      <c r="AE9" s="75"/>
      <c r="AF9" s="72"/>
      <c r="AG9" s="75"/>
      <c r="AH9" s="72"/>
      <c r="AI9" s="75"/>
      <c r="AJ9" s="72"/>
      <c r="AK9" s="75"/>
      <c r="AL9" s="72"/>
      <c r="AM9" s="75"/>
      <c r="AN9" s="76"/>
      <c r="AO9" s="174"/>
      <c r="AP9" s="991"/>
      <c r="AQ9" s="595"/>
      <c r="AR9" s="91">
        <v>234.35</v>
      </c>
      <c r="AS9" s="93">
        <v>3210</v>
      </c>
      <c r="AT9" s="76"/>
      <c r="AU9" s="78"/>
      <c r="AV9" s="106">
        <f t="shared" si="0"/>
        <v>28155.35</v>
      </c>
      <c r="AW9" s="106">
        <f t="shared" si="1"/>
        <v>45979</v>
      </c>
      <c r="AX9" s="266"/>
      <c r="AY9" s="92"/>
      <c r="AZ9" s="104">
        <f t="shared" si="2"/>
        <v>28155.35</v>
      </c>
      <c r="BA9" s="104"/>
    </row>
    <row r="10" spans="1:59" s="70" customFormat="1" ht="14.25">
      <c r="A10" s="312" t="s">
        <v>35</v>
      </c>
      <c r="B10" s="109">
        <v>3198.85</v>
      </c>
      <c r="C10" s="71">
        <f>7021+2027</f>
        <v>9048</v>
      </c>
      <c r="D10" s="81">
        <v>388.54</v>
      </c>
      <c r="E10" s="74">
        <v>771</v>
      </c>
      <c r="F10" s="97">
        <v>1802</v>
      </c>
      <c r="G10" s="86">
        <v>3825</v>
      </c>
      <c r="H10" s="94">
        <v>14298.84</v>
      </c>
      <c r="I10" s="86">
        <f>19866</f>
        <v>19866</v>
      </c>
      <c r="J10" s="94">
        <v>3278</v>
      </c>
      <c r="K10" s="78">
        <v>7464</v>
      </c>
      <c r="L10" s="97">
        <v>841.98</v>
      </c>
      <c r="M10" s="86">
        <v>789</v>
      </c>
      <c r="N10" s="94">
        <v>191.3</v>
      </c>
      <c r="O10" s="594">
        <v>269</v>
      </c>
      <c r="P10" s="110">
        <v>321</v>
      </c>
      <c r="Q10" s="73">
        <v>576</v>
      </c>
      <c r="R10" s="84"/>
      <c r="S10" s="75"/>
      <c r="T10" s="81">
        <v>55</v>
      </c>
      <c r="U10" s="75">
        <v>611</v>
      </c>
      <c r="V10" s="94">
        <v>2447</v>
      </c>
      <c r="W10" s="86">
        <v>1818</v>
      </c>
      <c r="X10" s="81">
        <v>13640.73</v>
      </c>
      <c r="Y10" s="75">
        <f>10589</f>
        <v>10589</v>
      </c>
      <c r="Z10" s="847">
        <v>10492.5</v>
      </c>
      <c r="AA10" s="80">
        <v>7021</v>
      </c>
      <c r="AB10" s="110">
        <v>3413.62</v>
      </c>
      <c r="AC10" s="75">
        <v>4056.48</v>
      </c>
      <c r="AD10" s="111">
        <v>8236.39</v>
      </c>
      <c r="AE10" s="75">
        <v>13691</v>
      </c>
      <c r="AF10" s="81">
        <v>6671.15</v>
      </c>
      <c r="AG10" s="75">
        <v>11190</v>
      </c>
      <c r="AH10" s="81">
        <v>14418.13</v>
      </c>
      <c r="AI10" s="75">
        <v>16363</v>
      </c>
      <c r="AJ10" s="81">
        <v>25936.38</v>
      </c>
      <c r="AK10" s="75">
        <v>24665</v>
      </c>
      <c r="AL10" s="72"/>
      <c r="AM10" s="75"/>
      <c r="AN10" s="173">
        <v>65582.22</v>
      </c>
      <c r="AO10" s="174">
        <v>51609</v>
      </c>
      <c r="AP10" s="991">
        <v>1661.25</v>
      </c>
      <c r="AQ10" s="595">
        <v>1876</v>
      </c>
      <c r="AR10" s="91">
        <v>2561.0300000000002</v>
      </c>
      <c r="AS10" s="93">
        <v>205</v>
      </c>
      <c r="AT10" s="94">
        <f>11973.14+15524.41</f>
        <v>27497.55</v>
      </c>
      <c r="AU10" s="78">
        <f>12195+17512</f>
        <v>29707</v>
      </c>
      <c r="AV10" s="106">
        <f t="shared" si="0"/>
        <v>206933.46</v>
      </c>
      <c r="AW10" s="106">
        <f t="shared" si="1"/>
        <v>216009.47999999998</v>
      </c>
      <c r="AX10" s="104"/>
      <c r="AY10" s="92"/>
      <c r="AZ10" s="104">
        <f t="shared" si="2"/>
        <v>206933.46</v>
      </c>
      <c r="BA10" s="104">
        <f t="shared" ref="BA10:BA22" si="3">AW10+AY10</f>
        <v>216009.47999999998</v>
      </c>
    </row>
    <row r="11" spans="1:59" s="70" customFormat="1" ht="14.25">
      <c r="A11" s="312" t="s">
        <v>36</v>
      </c>
      <c r="B11" s="101">
        <v>100409.23</v>
      </c>
      <c r="C11" s="71">
        <v>196397</v>
      </c>
      <c r="D11" s="72">
        <v>6031.39</v>
      </c>
      <c r="E11" s="74">
        <v>8994</v>
      </c>
      <c r="F11" s="77">
        <v>15295</v>
      </c>
      <c r="G11" s="86">
        <v>32934</v>
      </c>
      <c r="H11" s="602">
        <v>96068.37</v>
      </c>
      <c r="I11" s="86">
        <v>194876</v>
      </c>
      <c r="J11" s="76">
        <v>7302.87</v>
      </c>
      <c r="K11" s="78">
        <v>11196</v>
      </c>
      <c r="L11" s="77">
        <v>54706.61</v>
      </c>
      <c r="M11" s="86">
        <v>63540</v>
      </c>
      <c r="N11" s="76">
        <v>5834.41</v>
      </c>
      <c r="O11" s="594">
        <v>8976</v>
      </c>
      <c r="P11" s="102">
        <v>1942</v>
      </c>
      <c r="Q11" s="73">
        <v>6578</v>
      </c>
      <c r="R11" s="73"/>
      <c r="S11" s="75"/>
      <c r="T11" s="72">
        <v>5049</v>
      </c>
      <c r="U11" s="75">
        <v>8145</v>
      </c>
      <c r="V11" s="76">
        <v>199433</v>
      </c>
      <c r="W11" s="86">
        <v>421217</v>
      </c>
      <c r="X11" s="72">
        <v>529868.97</v>
      </c>
      <c r="Y11" s="75">
        <v>565995</v>
      </c>
      <c r="Z11" s="847">
        <v>9873.2800000000007</v>
      </c>
      <c r="AA11" s="74">
        <v>4940</v>
      </c>
      <c r="AB11" s="102">
        <v>213666.33</v>
      </c>
      <c r="AC11" s="75">
        <v>192303</v>
      </c>
      <c r="AD11" s="72">
        <v>36960.800000000003</v>
      </c>
      <c r="AE11" s="75">
        <v>65683</v>
      </c>
      <c r="AF11" s="72">
        <v>127484.92</v>
      </c>
      <c r="AG11" s="75">
        <v>223986</v>
      </c>
      <c r="AH11" s="72">
        <v>59760.79</v>
      </c>
      <c r="AI11" s="75">
        <v>54458</v>
      </c>
      <c r="AJ11" s="72">
        <v>36821.050000000003</v>
      </c>
      <c r="AK11" s="75">
        <v>57427</v>
      </c>
      <c r="AL11" s="72"/>
      <c r="AM11" s="75"/>
      <c r="AN11" s="173">
        <v>144826.25</v>
      </c>
      <c r="AO11" s="174">
        <v>321752</v>
      </c>
      <c r="AP11" s="991">
        <v>3040.69</v>
      </c>
      <c r="AQ11" s="595">
        <v>6070</v>
      </c>
      <c r="AR11" s="91">
        <v>16879.68</v>
      </c>
      <c r="AS11" s="93">
        <v>18386</v>
      </c>
      <c r="AT11" s="76">
        <v>28162.57</v>
      </c>
      <c r="AU11" s="78">
        <v>75158</v>
      </c>
      <c r="AV11" s="106">
        <f t="shared" si="0"/>
        <v>1699417.21</v>
      </c>
      <c r="AW11" s="106">
        <f t="shared" si="1"/>
        <v>2539011</v>
      </c>
      <c r="AX11" s="266"/>
      <c r="AY11" s="92"/>
      <c r="AZ11" s="104">
        <f t="shared" si="2"/>
        <v>1699417.21</v>
      </c>
      <c r="BA11" s="104">
        <f t="shared" si="3"/>
        <v>2539011</v>
      </c>
      <c r="BF11" s="132"/>
      <c r="BG11" s="132"/>
    </row>
    <row r="12" spans="1:59" s="70" customFormat="1" ht="14.25">
      <c r="A12" s="312" t="s">
        <v>37</v>
      </c>
      <c r="B12" s="101"/>
      <c r="C12" s="71"/>
      <c r="D12" s="72"/>
      <c r="E12" s="74"/>
      <c r="F12" s="77"/>
      <c r="G12" s="86"/>
      <c r="H12" s="602"/>
      <c r="I12" s="86"/>
      <c r="J12" s="76"/>
      <c r="K12" s="78"/>
      <c r="L12" s="77"/>
      <c r="M12" s="86"/>
      <c r="N12" s="76"/>
      <c r="O12" s="594"/>
      <c r="P12" s="102"/>
      <c r="Q12" s="73"/>
      <c r="R12" s="73"/>
      <c r="S12" s="75"/>
      <c r="T12" s="72"/>
      <c r="U12" s="75"/>
      <c r="V12" s="76">
        <v>155259</v>
      </c>
      <c r="W12" s="86">
        <v>113649</v>
      </c>
      <c r="X12" s="72"/>
      <c r="Y12" s="75"/>
      <c r="Z12" s="847"/>
      <c r="AA12" s="74">
        <v>1871</v>
      </c>
      <c r="AB12" s="102"/>
      <c r="AC12" s="75"/>
      <c r="AD12" s="72">
        <v>4341.5600000000004</v>
      </c>
      <c r="AE12" s="75">
        <v>5292</v>
      </c>
      <c r="AF12" s="72"/>
      <c r="AG12" s="75"/>
      <c r="AH12" s="72"/>
      <c r="AI12" s="75"/>
      <c r="AJ12" s="72"/>
      <c r="AK12" s="75"/>
      <c r="AL12" s="72"/>
      <c r="AM12" s="75"/>
      <c r="AN12" s="173">
        <v>77631.28</v>
      </c>
      <c r="AO12" s="174">
        <v>129028</v>
      </c>
      <c r="AP12" s="991"/>
      <c r="AQ12" s="595"/>
      <c r="AR12" s="91"/>
      <c r="AS12" s="93"/>
      <c r="AT12" s="76"/>
      <c r="AU12" s="78"/>
      <c r="AV12" s="106">
        <f t="shared" si="0"/>
        <v>237231.84</v>
      </c>
      <c r="AW12" s="106">
        <f t="shared" si="1"/>
        <v>249840</v>
      </c>
      <c r="AX12" s="266"/>
      <c r="AY12" s="92"/>
      <c r="AZ12" s="104">
        <f t="shared" si="2"/>
        <v>237231.84</v>
      </c>
      <c r="BA12" s="104">
        <f t="shared" si="3"/>
        <v>249840</v>
      </c>
    </row>
    <row r="13" spans="1:59" s="70" customFormat="1" ht="14.25">
      <c r="A13" s="312" t="s">
        <v>38</v>
      </c>
      <c r="B13" s="101"/>
      <c r="C13" s="71"/>
      <c r="D13" s="72">
        <v>137.76</v>
      </c>
      <c r="E13" s="74">
        <v>92</v>
      </c>
      <c r="F13" s="77"/>
      <c r="G13" s="86"/>
      <c r="H13" s="602"/>
      <c r="I13" s="86"/>
      <c r="J13" s="76"/>
      <c r="K13" s="78"/>
      <c r="L13" s="77">
        <v>8206.39</v>
      </c>
      <c r="M13" s="86">
        <v>17545</v>
      </c>
      <c r="N13" s="76"/>
      <c r="O13" s="594"/>
      <c r="P13" s="102">
        <v>1481</v>
      </c>
      <c r="Q13" s="73">
        <v>378</v>
      </c>
      <c r="R13" s="73"/>
      <c r="S13" s="75"/>
      <c r="T13" s="72">
        <v>276</v>
      </c>
      <c r="U13" s="75">
        <v>384</v>
      </c>
      <c r="V13" s="76">
        <v>83547</v>
      </c>
      <c r="W13" s="86">
        <v>159486</v>
      </c>
      <c r="X13" s="72"/>
      <c r="Y13" s="75"/>
      <c r="Z13" s="847"/>
      <c r="AA13" s="74"/>
      <c r="AB13" s="102"/>
      <c r="AC13" s="75"/>
      <c r="AD13" s="72"/>
      <c r="AE13" s="75"/>
      <c r="AF13" s="72"/>
      <c r="AG13" s="75"/>
      <c r="AH13" s="72"/>
      <c r="AI13" s="75"/>
      <c r="AJ13" s="72"/>
      <c r="AK13" s="75"/>
      <c r="AL13" s="72"/>
      <c r="AM13" s="75"/>
      <c r="AN13" s="173">
        <v>224884.61</v>
      </c>
      <c r="AO13" s="174">
        <v>223000</v>
      </c>
      <c r="AP13" s="991">
        <v>3.61</v>
      </c>
      <c r="AQ13" s="595">
        <v>26</v>
      </c>
      <c r="AR13" s="91"/>
      <c r="AS13" s="93"/>
      <c r="AT13" s="76"/>
      <c r="AU13" s="78"/>
      <c r="AV13" s="106">
        <f t="shared" si="0"/>
        <v>318536.37</v>
      </c>
      <c r="AW13" s="106">
        <f t="shared" si="1"/>
        <v>400911</v>
      </c>
      <c r="AX13" s="266"/>
      <c r="AY13" s="92"/>
      <c r="AZ13" s="104">
        <f t="shared" si="2"/>
        <v>318536.37</v>
      </c>
      <c r="BA13" s="104">
        <f t="shared" si="3"/>
        <v>400911</v>
      </c>
    </row>
    <row r="14" spans="1:59" s="70" customFormat="1" ht="14.25">
      <c r="A14" s="312" t="s">
        <v>39</v>
      </c>
      <c r="B14" s="109">
        <v>302.47000000000003</v>
      </c>
      <c r="C14" s="71">
        <v>483</v>
      </c>
      <c r="D14" s="81">
        <v>91.33</v>
      </c>
      <c r="E14" s="74">
        <v>748</v>
      </c>
      <c r="F14" s="97">
        <v>3</v>
      </c>
      <c r="G14" s="86">
        <v>45</v>
      </c>
      <c r="H14" s="602">
        <v>957.32</v>
      </c>
      <c r="I14" s="86">
        <v>987</v>
      </c>
      <c r="J14" s="94">
        <v>131.86000000000001</v>
      </c>
      <c r="K14" s="78">
        <v>465</v>
      </c>
      <c r="L14" s="97"/>
      <c r="M14" s="86"/>
      <c r="N14" s="94"/>
      <c r="O14" s="594"/>
      <c r="P14" s="110"/>
      <c r="Q14" s="73"/>
      <c r="R14" s="84"/>
      <c r="S14" s="75"/>
      <c r="T14" s="81"/>
      <c r="U14" s="75">
        <v>4</v>
      </c>
      <c r="V14" s="94"/>
      <c r="W14" s="86"/>
      <c r="X14" s="81">
        <v>208.55</v>
      </c>
      <c r="Y14" s="75">
        <v>190</v>
      </c>
      <c r="Z14" s="847">
        <f>52.35</f>
        <v>52.35</v>
      </c>
      <c r="AA14" s="80">
        <v>36</v>
      </c>
      <c r="AB14" s="110"/>
      <c r="AC14" s="75"/>
      <c r="AD14" s="111">
        <v>54.22</v>
      </c>
      <c r="AE14" s="75">
        <v>117</v>
      </c>
      <c r="AF14" s="81"/>
      <c r="AG14" s="75"/>
      <c r="AH14" s="81"/>
      <c r="AI14" s="75"/>
      <c r="AJ14" s="81">
        <v>18.88</v>
      </c>
      <c r="AK14" s="75">
        <v>24</v>
      </c>
      <c r="AL14" s="72"/>
      <c r="AM14" s="75"/>
      <c r="AN14" s="173">
        <v>510.1</v>
      </c>
      <c r="AO14" s="174">
        <v>504</v>
      </c>
      <c r="AP14" s="991">
        <v>141.93</v>
      </c>
      <c r="AQ14" s="595">
        <v>349</v>
      </c>
      <c r="AR14" s="91">
        <v>1</v>
      </c>
      <c r="AS14" s="93">
        <v>114</v>
      </c>
      <c r="AT14" s="94"/>
      <c r="AU14" s="78"/>
      <c r="AV14" s="106">
        <f t="shared" si="0"/>
        <v>2473.0099999999998</v>
      </c>
      <c r="AW14" s="106">
        <f t="shared" si="1"/>
        <v>4066</v>
      </c>
      <c r="AX14" s="104"/>
      <c r="AY14" s="92"/>
      <c r="AZ14" s="104">
        <f t="shared" si="2"/>
        <v>2473.0099999999998</v>
      </c>
      <c r="BA14" s="104">
        <f t="shared" si="3"/>
        <v>4066</v>
      </c>
    </row>
    <row r="15" spans="1:59" s="70" customFormat="1" ht="14.25">
      <c r="A15" s="312" t="s">
        <v>40</v>
      </c>
      <c r="B15" s="101">
        <v>-6.25</v>
      </c>
      <c r="C15" s="71">
        <v>23</v>
      </c>
      <c r="D15" s="72">
        <v>8.3000000000000007</v>
      </c>
      <c r="E15" s="74">
        <v>32</v>
      </c>
      <c r="F15" s="77">
        <v>60</v>
      </c>
      <c r="G15" s="86">
        <v>130</v>
      </c>
      <c r="H15" s="76">
        <v>190.12</v>
      </c>
      <c r="I15" s="86">
        <v>446</v>
      </c>
      <c r="J15" s="76">
        <v>59.86</v>
      </c>
      <c r="K15" s="78">
        <v>59</v>
      </c>
      <c r="L15" s="77">
        <v>9</v>
      </c>
      <c r="M15" s="86">
        <v>37</v>
      </c>
      <c r="N15" s="76">
        <v>14.02</v>
      </c>
      <c r="O15" s="594">
        <v>388</v>
      </c>
      <c r="P15" s="102">
        <v>50</v>
      </c>
      <c r="Q15" s="73">
        <v>31</v>
      </c>
      <c r="R15" s="73"/>
      <c r="S15" s="75"/>
      <c r="T15" s="72">
        <v>55</v>
      </c>
      <c r="U15" s="75">
        <v>118</v>
      </c>
      <c r="V15" s="76">
        <v>1242</v>
      </c>
      <c r="W15" s="86">
        <v>1797</v>
      </c>
      <c r="X15" s="72">
        <v>3448.49</v>
      </c>
      <c r="Y15" s="75">
        <v>4213</v>
      </c>
      <c r="Z15" s="847"/>
      <c r="AA15" s="80"/>
      <c r="AB15" s="102">
        <v>77.680000000000007</v>
      </c>
      <c r="AC15" s="75">
        <v>114.75</v>
      </c>
      <c r="AD15" s="72"/>
      <c r="AE15" s="75"/>
      <c r="AF15" s="72">
        <v>455.91</v>
      </c>
      <c r="AG15" s="75">
        <v>5226</v>
      </c>
      <c r="AH15" s="72">
        <v>249.62</v>
      </c>
      <c r="AI15" s="75">
        <v>388</v>
      </c>
      <c r="AJ15" s="72">
        <v>70.099999999999994</v>
      </c>
      <c r="AK15" s="75">
        <v>75</v>
      </c>
      <c r="AL15" s="72"/>
      <c r="AM15" s="75"/>
      <c r="AN15" s="173">
        <v>120.61</v>
      </c>
      <c r="AO15" s="174">
        <v>2261</v>
      </c>
      <c r="AP15" s="991"/>
      <c r="AQ15" s="595"/>
      <c r="AR15" s="91"/>
      <c r="AS15" s="93"/>
      <c r="AT15" s="76">
        <v>42.09</v>
      </c>
      <c r="AU15" s="78">
        <v>108</v>
      </c>
      <c r="AV15" s="106">
        <f t="shared" si="0"/>
        <v>6146.55</v>
      </c>
      <c r="AW15" s="106">
        <f t="shared" si="1"/>
        <v>15446.75</v>
      </c>
      <c r="AX15" s="103"/>
      <c r="AY15" s="92"/>
      <c r="AZ15" s="104">
        <f t="shared" si="2"/>
        <v>6146.55</v>
      </c>
      <c r="BA15" s="104">
        <f t="shared" si="3"/>
        <v>15446.75</v>
      </c>
    </row>
    <row r="16" spans="1:59" s="70" customFormat="1" ht="14.25">
      <c r="A16" s="312" t="s">
        <v>41</v>
      </c>
      <c r="B16" s="101"/>
      <c r="C16" s="71"/>
      <c r="D16" s="72"/>
      <c r="E16" s="74"/>
      <c r="F16" s="77"/>
      <c r="G16" s="86"/>
      <c r="H16" s="76"/>
      <c r="I16" s="86"/>
      <c r="J16" s="76"/>
      <c r="K16" s="78"/>
      <c r="L16" s="77"/>
      <c r="M16" s="86"/>
      <c r="N16" s="76"/>
      <c r="O16" s="594"/>
      <c r="P16" s="102"/>
      <c r="Q16" s="73"/>
      <c r="R16" s="73"/>
      <c r="S16" s="75"/>
      <c r="T16" s="72"/>
      <c r="U16" s="75"/>
      <c r="V16" s="76"/>
      <c r="W16" s="86"/>
      <c r="X16" s="72"/>
      <c r="Y16" s="75"/>
      <c r="Z16" s="847"/>
      <c r="AA16" s="80"/>
      <c r="AB16" s="102"/>
      <c r="AC16" s="75"/>
      <c r="AD16" s="72"/>
      <c r="AE16" s="75"/>
      <c r="AF16" s="72"/>
      <c r="AG16" s="75"/>
      <c r="AH16" s="72"/>
      <c r="AI16" s="75"/>
      <c r="AJ16" s="72"/>
      <c r="AK16" s="75"/>
      <c r="AL16" s="72"/>
      <c r="AM16" s="75"/>
      <c r="AN16" s="173"/>
      <c r="AO16" s="174"/>
      <c r="AP16" s="991"/>
      <c r="AQ16" s="595"/>
      <c r="AR16" s="91"/>
      <c r="AS16" s="93"/>
      <c r="AT16" s="76"/>
      <c r="AU16" s="78"/>
      <c r="AV16" s="106">
        <f t="shared" si="0"/>
        <v>0</v>
      </c>
      <c r="AW16" s="106">
        <f t="shared" si="1"/>
        <v>0</v>
      </c>
      <c r="AX16" s="103"/>
      <c r="AY16" s="92"/>
      <c r="AZ16" s="104">
        <f t="shared" si="2"/>
        <v>0</v>
      </c>
      <c r="BA16" s="104">
        <f t="shared" si="3"/>
        <v>0</v>
      </c>
    </row>
    <row r="17" spans="1:53" s="70" customFormat="1" ht="14.25">
      <c r="A17" s="312" t="s">
        <v>42</v>
      </c>
      <c r="B17" s="101"/>
      <c r="C17" s="71"/>
      <c r="D17" s="72"/>
      <c r="E17" s="74"/>
      <c r="F17" s="77"/>
      <c r="G17" s="86"/>
      <c r="H17" s="76"/>
      <c r="I17" s="86"/>
      <c r="J17" s="76"/>
      <c r="K17" s="78"/>
      <c r="L17" s="77"/>
      <c r="M17" s="86"/>
      <c r="N17" s="76"/>
      <c r="O17" s="594"/>
      <c r="P17" s="102"/>
      <c r="Q17" s="73"/>
      <c r="R17" s="73"/>
      <c r="S17" s="75"/>
      <c r="T17" s="72"/>
      <c r="U17" s="75"/>
      <c r="V17" s="76"/>
      <c r="W17" s="86"/>
      <c r="X17" s="72"/>
      <c r="Y17" s="75"/>
      <c r="Z17" s="847"/>
      <c r="AA17" s="80"/>
      <c r="AB17" s="102"/>
      <c r="AC17" s="75"/>
      <c r="AD17" s="72"/>
      <c r="AE17" s="75"/>
      <c r="AF17" s="72">
        <v>47870.83</v>
      </c>
      <c r="AG17" s="75">
        <v>49043</v>
      </c>
      <c r="AH17" s="72"/>
      <c r="AI17" s="75"/>
      <c r="AJ17" s="72"/>
      <c r="AK17" s="75"/>
      <c r="AL17" s="72"/>
      <c r="AM17" s="75"/>
      <c r="AN17" s="173"/>
      <c r="AO17" s="174"/>
      <c r="AP17" s="991">
        <v>14.76</v>
      </c>
      <c r="AQ17" s="595">
        <v>18.899999999999999</v>
      </c>
      <c r="AR17" s="91"/>
      <c r="AS17" s="93"/>
      <c r="AT17" s="76"/>
      <c r="AU17" s="78"/>
      <c r="AV17" s="106">
        <f t="shared" si="0"/>
        <v>47885.590000000004</v>
      </c>
      <c r="AW17" s="106">
        <f t="shared" si="1"/>
        <v>49061.9</v>
      </c>
      <c r="AX17" s="103"/>
      <c r="AY17" s="92"/>
      <c r="AZ17" s="104">
        <f t="shared" si="2"/>
        <v>47885.590000000004</v>
      </c>
      <c r="BA17" s="104">
        <f t="shared" si="3"/>
        <v>49061.9</v>
      </c>
    </row>
    <row r="18" spans="1:53" s="70" customFormat="1" ht="14.25">
      <c r="A18" s="312" t="s">
        <v>43</v>
      </c>
      <c r="B18" s="101"/>
      <c r="C18" s="71"/>
      <c r="D18" s="72"/>
      <c r="E18" s="74"/>
      <c r="F18" s="77"/>
      <c r="G18" s="86"/>
      <c r="H18" s="76"/>
      <c r="I18" s="86"/>
      <c r="J18" s="76"/>
      <c r="K18" s="78"/>
      <c r="L18" s="77"/>
      <c r="M18" s="86"/>
      <c r="N18" s="76"/>
      <c r="O18" s="594"/>
      <c r="P18" s="102"/>
      <c r="Q18" s="73"/>
      <c r="R18" s="73"/>
      <c r="S18" s="75"/>
      <c r="T18" s="72"/>
      <c r="U18" s="75"/>
      <c r="V18" s="76">
        <v>33647</v>
      </c>
      <c r="W18" s="86">
        <v>41899</v>
      </c>
      <c r="X18" s="72"/>
      <c r="Y18" s="75"/>
      <c r="Z18" s="847"/>
      <c r="AA18" s="80"/>
      <c r="AB18" s="102"/>
      <c r="AC18" s="75"/>
      <c r="AD18" s="72"/>
      <c r="AE18" s="75"/>
      <c r="AF18" s="72"/>
      <c r="AG18" s="75"/>
      <c r="AH18" s="72"/>
      <c r="AI18" s="75"/>
      <c r="AJ18" s="72"/>
      <c r="AK18" s="75"/>
      <c r="AL18" s="72"/>
      <c r="AM18" s="75"/>
      <c r="AN18" s="173"/>
      <c r="AO18" s="174"/>
      <c r="AP18" s="991"/>
      <c r="AQ18" s="595"/>
      <c r="AR18" s="91">
        <v>16922.939999999999</v>
      </c>
      <c r="AS18" s="93">
        <v>398</v>
      </c>
      <c r="AT18" s="76">
        <v>4246.54</v>
      </c>
      <c r="AU18" s="78">
        <v>6405</v>
      </c>
      <c r="AV18" s="106">
        <f t="shared" si="0"/>
        <v>54816.480000000003</v>
      </c>
      <c r="AW18" s="106">
        <f t="shared" si="1"/>
        <v>48702</v>
      </c>
      <c r="AX18" s="103"/>
      <c r="AY18" s="92"/>
      <c r="AZ18" s="104">
        <f t="shared" si="2"/>
        <v>54816.480000000003</v>
      </c>
      <c r="BA18" s="104">
        <f t="shared" si="3"/>
        <v>48702</v>
      </c>
    </row>
    <row r="19" spans="1:53" s="70" customFormat="1" ht="14.25">
      <c r="A19" s="312" t="s">
        <v>44</v>
      </c>
      <c r="B19" s="101"/>
      <c r="C19" s="71"/>
      <c r="D19" s="72"/>
      <c r="E19" s="74"/>
      <c r="F19" s="77"/>
      <c r="G19" s="86"/>
      <c r="H19" s="76"/>
      <c r="I19" s="86"/>
      <c r="J19" s="76"/>
      <c r="K19" s="78"/>
      <c r="L19" s="77"/>
      <c r="M19" s="86"/>
      <c r="N19" s="76"/>
      <c r="O19" s="594"/>
      <c r="P19" s="102"/>
      <c r="Q19" s="73"/>
      <c r="R19" s="73"/>
      <c r="S19" s="75"/>
      <c r="T19" s="72"/>
      <c r="U19" s="75"/>
      <c r="V19" s="76">
        <v>877</v>
      </c>
      <c r="W19" s="86">
        <v>930</v>
      </c>
      <c r="X19" s="72"/>
      <c r="Y19" s="75"/>
      <c r="Z19" s="847"/>
      <c r="AA19" s="80"/>
      <c r="AB19" s="102"/>
      <c r="AC19" s="75"/>
      <c r="AD19" s="72"/>
      <c r="AE19" s="75"/>
      <c r="AF19" s="72"/>
      <c r="AG19" s="75"/>
      <c r="AH19" s="72"/>
      <c r="AI19" s="75"/>
      <c r="AJ19" s="72"/>
      <c r="AK19" s="75"/>
      <c r="AL19" s="72"/>
      <c r="AM19" s="75"/>
      <c r="AN19" s="173"/>
      <c r="AO19" s="174"/>
      <c r="AP19" s="991"/>
      <c r="AQ19" s="595"/>
      <c r="AR19" s="91"/>
      <c r="AS19" s="93"/>
      <c r="AT19" s="76"/>
      <c r="AU19" s="78"/>
      <c r="AV19" s="106">
        <f t="shared" si="0"/>
        <v>877</v>
      </c>
      <c r="AW19" s="106">
        <f t="shared" si="1"/>
        <v>930</v>
      </c>
      <c r="AX19" s="103"/>
      <c r="AY19" s="92"/>
      <c r="AZ19" s="104">
        <f t="shared" si="2"/>
        <v>877</v>
      </c>
      <c r="BA19" s="104">
        <f t="shared" si="3"/>
        <v>930</v>
      </c>
    </row>
    <row r="20" spans="1:53" s="70" customFormat="1" ht="14.25">
      <c r="A20" s="312" t="s">
        <v>45</v>
      </c>
      <c r="B20" s="101"/>
      <c r="C20" s="71"/>
      <c r="D20" s="72"/>
      <c r="E20" s="74"/>
      <c r="F20" s="77">
        <v>380</v>
      </c>
      <c r="G20" s="86">
        <v>337</v>
      </c>
      <c r="H20" s="76">
        <v>342.24</v>
      </c>
      <c r="I20" s="86">
        <v>537</v>
      </c>
      <c r="J20" s="76"/>
      <c r="K20" s="78"/>
      <c r="L20" s="77"/>
      <c r="M20" s="86"/>
      <c r="N20" s="76">
        <v>32.08</v>
      </c>
      <c r="O20" s="594">
        <v>22</v>
      </c>
      <c r="P20" s="102">
        <v>6</v>
      </c>
      <c r="Q20" s="73">
        <v>5</v>
      </c>
      <c r="R20" s="73"/>
      <c r="S20" s="75"/>
      <c r="T20" s="72"/>
      <c r="U20" s="75"/>
      <c r="V20" s="76">
        <v>1323</v>
      </c>
      <c r="W20" s="86">
        <v>1239</v>
      </c>
      <c r="X20" s="72">
        <v>2351.5</v>
      </c>
      <c r="Y20" s="75">
        <v>970</v>
      </c>
      <c r="Z20" s="847"/>
      <c r="AA20" s="80"/>
      <c r="AB20" s="102"/>
      <c r="AC20" s="75"/>
      <c r="AD20" s="72"/>
      <c r="AE20" s="75">
        <v>78</v>
      </c>
      <c r="AF20" s="72"/>
      <c r="AG20" s="75"/>
      <c r="AH20" s="72"/>
      <c r="AI20" s="75"/>
      <c r="AJ20" s="72"/>
      <c r="AK20" s="75"/>
      <c r="AL20" s="72"/>
      <c r="AM20" s="75"/>
      <c r="AN20" s="173">
        <v>718.55</v>
      </c>
      <c r="AO20" s="174">
        <v>585</v>
      </c>
      <c r="AP20" s="991"/>
      <c r="AQ20" s="595"/>
      <c r="AR20" s="91"/>
      <c r="AS20" s="93"/>
      <c r="AT20" s="76">
        <v>253.75</v>
      </c>
      <c r="AU20" s="78">
        <v>198</v>
      </c>
      <c r="AV20" s="106">
        <f t="shared" si="0"/>
        <v>5407.12</v>
      </c>
      <c r="AW20" s="106">
        <f t="shared" si="1"/>
        <v>3971</v>
      </c>
      <c r="AX20" s="103"/>
      <c r="AY20" s="92"/>
      <c r="AZ20" s="104">
        <f t="shared" si="2"/>
        <v>5407.12</v>
      </c>
      <c r="BA20" s="104">
        <f t="shared" si="3"/>
        <v>3971</v>
      </c>
    </row>
    <row r="21" spans="1:53" s="70" customFormat="1" ht="14.25">
      <c r="A21" s="312" t="s">
        <v>46</v>
      </c>
      <c r="B21" s="101"/>
      <c r="C21" s="71"/>
      <c r="D21" s="72"/>
      <c r="E21" s="74"/>
      <c r="F21" s="77"/>
      <c r="G21" s="86"/>
      <c r="H21" s="76"/>
      <c r="I21" s="86"/>
      <c r="J21" s="76"/>
      <c r="K21" s="78"/>
      <c r="L21" s="77"/>
      <c r="M21" s="86"/>
      <c r="N21" s="76">
        <v>20.09</v>
      </c>
      <c r="O21" s="594">
        <v>40</v>
      </c>
      <c r="P21" s="102"/>
      <c r="Q21" s="73"/>
      <c r="R21" s="73"/>
      <c r="S21" s="75"/>
      <c r="T21" s="72">
        <v>39</v>
      </c>
      <c r="U21" s="75">
        <v>59</v>
      </c>
      <c r="V21" s="76"/>
      <c r="W21" s="86"/>
      <c r="X21" s="72"/>
      <c r="Y21" s="75"/>
      <c r="Z21" s="847"/>
      <c r="AA21" s="80"/>
      <c r="AB21" s="102">
        <v>26.11</v>
      </c>
      <c r="AC21" s="75">
        <v>70.63</v>
      </c>
      <c r="AD21" s="72"/>
      <c r="AE21" s="75"/>
      <c r="AF21" s="72"/>
      <c r="AG21" s="75"/>
      <c r="AH21" s="72"/>
      <c r="AI21" s="75"/>
      <c r="AJ21" s="72">
        <v>44.01</v>
      </c>
      <c r="AK21" s="75">
        <v>50</v>
      </c>
      <c r="AL21" s="72"/>
      <c r="AM21" s="75"/>
      <c r="AN21" s="173"/>
      <c r="AO21" s="174"/>
      <c r="AP21" s="991"/>
      <c r="AQ21" s="595"/>
      <c r="AR21" s="91">
        <v>7.64</v>
      </c>
      <c r="AS21" s="93">
        <v>33</v>
      </c>
      <c r="AT21" s="76"/>
      <c r="AU21" s="78"/>
      <c r="AV21" s="106">
        <f t="shared" si="0"/>
        <v>136.85</v>
      </c>
      <c r="AW21" s="106">
        <f t="shared" si="1"/>
        <v>252.63</v>
      </c>
      <c r="AX21" s="103"/>
      <c r="AY21" s="92"/>
      <c r="AZ21" s="104">
        <f t="shared" si="2"/>
        <v>136.85</v>
      </c>
      <c r="BA21" s="104">
        <f t="shared" si="3"/>
        <v>252.63</v>
      </c>
    </row>
    <row r="22" spans="1:53" s="70" customFormat="1" ht="14.25">
      <c r="A22" s="312" t="s">
        <v>47</v>
      </c>
      <c r="B22" s="101"/>
      <c r="C22" s="71"/>
      <c r="D22" s="72">
        <v>53.35</v>
      </c>
      <c r="E22" s="74">
        <v>55</v>
      </c>
      <c r="F22" s="77"/>
      <c r="G22" s="86"/>
      <c r="H22" s="76">
        <v>792.4</v>
      </c>
      <c r="I22" s="86">
        <v>1493</v>
      </c>
      <c r="J22" s="76"/>
      <c r="K22" s="78"/>
      <c r="L22" s="77"/>
      <c r="M22" s="86"/>
      <c r="N22" s="76">
        <v>48.55</v>
      </c>
      <c r="O22" s="594">
        <v>35</v>
      </c>
      <c r="P22" s="102"/>
      <c r="Q22" s="73"/>
      <c r="R22" s="73"/>
      <c r="S22" s="75"/>
      <c r="T22" s="107">
        <f>3114+6611+24</f>
        <v>9749</v>
      </c>
      <c r="U22" s="75">
        <f>1611+2664+33</f>
        <v>4308</v>
      </c>
      <c r="V22" s="76"/>
      <c r="W22" s="86"/>
      <c r="X22" s="72"/>
      <c r="Y22" s="75"/>
      <c r="Z22" s="847">
        <v>7.3</v>
      </c>
      <c r="AA22" s="80">
        <v>4</v>
      </c>
      <c r="AB22" s="102"/>
      <c r="AC22" s="75"/>
      <c r="AD22" s="72">
        <f>45.3+74.17</f>
        <v>119.47</v>
      </c>
      <c r="AE22" s="75">
        <f>33</f>
        <v>33</v>
      </c>
      <c r="AF22" s="72">
        <v>1222.1500000000001</v>
      </c>
      <c r="AG22" s="75">
        <v>1774</v>
      </c>
      <c r="AH22" s="72"/>
      <c r="AI22" s="75"/>
      <c r="AJ22" s="72">
        <v>695.88</v>
      </c>
      <c r="AK22" s="75">
        <v>577</v>
      </c>
      <c r="AL22" s="72"/>
      <c r="AM22" s="75"/>
      <c r="AN22" s="173">
        <v>42.22</v>
      </c>
      <c r="AO22" s="174">
        <v>76</v>
      </c>
      <c r="AP22" s="991">
        <v>86.61</v>
      </c>
      <c r="AQ22" s="595">
        <v>107.57</v>
      </c>
      <c r="AR22" s="91">
        <f>-209.71+35.09+30.12</f>
        <v>-144.5</v>
      </c>
      <c r="AS22" s="93">
        <v>300</v>
      </c>
      <c r="AT22" s="76"/>
      <c r="AU22" s="78"/>
      <c r="AV22" s="106">
        <f t="shared" si="0"/>
        <v>12672.429999999997</v>
      </c>
      <c r="AW22" s="106">
        <f t="shared" si="1"/>
        <v>8762.57</v>
      </c>
      <c r="AX22" s="103"/>
      <c r="AY22" s="92"/>
      <c r="AZ22" s="104">
        <f t="shared" si="2"/>
        <v>12672.429999999997</v>
      </c>
      <c r="BA22" s="104">
        <f t="shared" si="3"/>
        <v>8762.57</v>
      </c>
    </row>
    <row r="23" spans="1:53" s="70" customFormat="1" ht="14.25">
      <c r="A23" s="312" t="s">
        <v>48</v>
      </c>
      <c r="B23" s="101"/>
      <c r="C23" s="71"/>
      <c r="D23" s="72"/>
      <c r="E23" s="74"/>
      <c r="F23" s="77"/>
      <c r="G23" s="86"/>
      <c r="H23" s="76"/>
      <c r="I23" s="86"/>
      <c r="J23" s="76"/>
      <c r="K23" s="78"/>
      <c r="L23" s="77"/>
      <c r="M23" s="86"/>
      <c r="N23" s="76"/>
      <c r="O23" s="594"/>
      <c r="P23" s="102"/>
      <c r="Q23" s="73"/>
      <c r="R23" s="73"/>
      <c r="S23" s="75"/>
      <c r="T23" s="72"/>
      <c r="U23" s="75"/>
      <c r="V23" s="76"/>
      <c r="W23" s="86"/>
      <c r="X23" s="72"/>
      <c r="Y23" s="75"/>
      <c r="Z23" s="847"/>
      <c r="AA23" s="80"/>
      <c r="AB23" s="102"/>
      <c r="AC23" s="75"/>
      <c r="AD23" s="72"/>
      <c r="AE23" s="75"/>
      <c r="AF23" s="72"/>
      <c r="AG23" s="75"/>
      <c r="AH23" s="72"/>
      <c r="AI23" s="75"/>
      <c r="AJ23" s="72"/>
      <c r="AK23" s="75"/>
      <c r="AL23" s="72"/>
      <c r="AM23" s="75"/>
      <c r="AN23" s="76"/>
      <c r="AO23" s="174"/>
      <c r="AP23" s="991"/>
      <c r="AQ23" s="595"/>
      <c r="AR23" s="91"/>
      <c r="AS23" s="93"/>
      <c r="AT23" s="76"/>
      <c r="AU23" s="78"/>
      <c r="AV23" s="106">
        <f t="shared" si="0"/>
        <v>0</v>
      </c>
      <c r="AW23" s="106">
        <f t="shared" si="1"/>
        <v>0</v>
      </c>
      <c r="AX23" s="103"/>
      <c r="AY23" s="92"/>
      <c r="AZ23" s="104">
        <f t="shared" si="2"/>
        <v>0</v>
      </c>
      <c r="BA23" s="104"/>
    </row>
    <row r="24" spans="1:53" s="70" customFormat="1" ht="14.25">
      <c r="A24" s="312" t="s">
        <v>31</v>
      </c>
      <c r="B24" s="109">
        <v>-14359.17</v>
      </c>
      <c r="C24" s="71">
        <v>-56220</v>
      </c>
      <c r="D24" s="81">
        <v>-2832.74</v>
      </c>
      <c r="E24" s="74">
        <v>-17317</v>
      </c>
      <c r="F24" s="97">
        <v>-2605</v>
      </c>
      <c r="G24" s="86">
        <v>-16093</v>
      </c>
      <c r="H24" s="94">
        <v>-4805.6400000000003</v>
      </c>
      <c r="I24" s="86">
        <v>-24131</v>
      </c>
      <c r="J24" s="94">
        <v>-1118.53</v>
      </c>
      <c r="K24" s="78">
        <v>-7733</v>
      </c>
      <c r="L24" s="97">
        <v>-3670.52</v>
      </c>
      <c r="M24" s="86">
        <v>-14788</v>
      </c>
      <c r="N24" s="94">
        <v>-4400.01</v>
      </c>
      <c r="O24" s="594">
        <v>-8267</v>
      </c>
      <c r="P24" s="110">
        <v>-2459</v>
      </c>
      <c r="Q24" s="73">
        <v>-11142</v>
      </c>
      <c r="R24" s="84">
        <v>-3793</v>
      </c>
      <c r="S24" s="75">
        <v>-23544</v>
      </c>
      <c r="T24" s="81">
        <v>-3216</v>
      </c>
      <c r="U24" s="75">
        <v>-11232</v>
      </c>
      <c r="V24" s="94">
        <v>-24064</v>
      </c>
      <c r="W24" s="86">
        <v>-117372</v>
      </c>
      <c r="X24" s="81">
        <v>-43721.98</v>
      </c>
      <c r="Y24" s="75">
        <v>-61413</v>
      </c>
      <c r="Z24" s="847">
        <v>-1880.41</v>
      </c>
      <c r="AA24" s="80">
        <v>-1398</v>
      </c>
      <c r="AB24" s="110">
        <v>-5641.48</v>
      </c>
      <c r="AC24" s="75">
        <v>-20622.77</v>
      </c>
      <c r="AD24" s="111">
        <v>-9757.65</v>
      </c>
      <c r="AE24" s="75">
        <v>-41709</v>
      </c>
      <c r="AF24" s="81">
        <v>-15021.1</v>
      </c>
      <c r="AG24" s="75">
        <v>-102078</v>
      </c>
      <c r="AH24" s="81">
        <v>-8723.5</v>
      </c>
      <c r="AI24" s="75">
        <v>-49565</v>
      </c>
      <c r="AJ24" s="81">
        <v>-897.47</v>
      </c>
      <c r="AK24" s="75">
        <v>-4219</v>
      </c>
      <c r="AL24" s="72"/>
      <c r="AM24" s="75"/>
      <c r="AN24" s="173">
        <v>-13125.27</v>
      </c>
      <c r="AO24" s="174">
        <v>-59647</v>
      </c>
      <c r="AP24" s="991">
        <v>-249.44</v>
      </c>
      <c r="AQ24" s="595">
        <v>-832</v>
      </c>
      <c r="AR24" s="91">
        <v>-2415.17</v>
      </c>
      <c r="AS24" s="93">
        <v>-11737</v>
      </c>
      <c r="AT24" s="94">
        <v>-15144.84</v>
      </c>
      <c r="AU24" s="78">
        <v>-85296</v>
      </c>
      <c r="AV24" s="106">
        <f t="shared" si="0"/>
        <v>-183901.91999999998</v>
      </c>
      <c r="AW24" s="106">
        <f t="shared" si="1"/>
        <v>-746355.77</v>
      </c>
      <c r="AX24" s="104"/>
      <c r="AY24" s="92"/>
      <c r="AZ24" s="104">
        <f t="shared" si="2"/>
        <v>-183901.91999999998</v>
      </c>
      <c r="BA24" s="104">
        <f>AW24+AY24</f>
        <v>-746355.77</v>
      </c>
    </row>
    <row r="25" spans="1:53" s="70" customFormat="1" ht="14.25">
      <c r="A25" s="312" t="s">
        <v>32</v>
      </c>
      <c r="B25" s="101"/>
      <c r="C25" s="71"/>
      <c r="D25" s="72"/>
      <c r="E25" s="74"/>
      <c r="F25" s="77"/>
      <c r="G25" s="86"/>
      <c r="H25" s="76"/>
      <c r="I25" s="86"/>
      <c r="J25" s="76"/>
      <c r="K25" s="78"/>
      <c r="L25" s="77"/>
      <c r="M25" s="86"/>
      <c r="N25" s="76"/>
      <c r="O25" s="594"/>
      <c r="P25" s="102"/>
      <c r="Q25" s="73"/>
      <c r="R25" s="73"/>
      <c r="S25" s="75"/>
      <c r="T25" s="72"/>
      <c r="U25" s="75"/>
      <c r="V25" s="76"/>
      <c r="W25" s="86"/>
      <c r="X25" s="72"/>
      <c r="Y25" s="75"/>
      <c r="Z25" s="847"/>
      <c r="AA25" s="80"/>
      <c r="AB25" s="102"/>
      <c r="AC25" s="75"/>
      <c r="AD25" s="72"/>
      <c r="AE25" s="75"/>
      <c r="AF25" s="72"/>
      <c r="AG25" s="75"/>
      <c r="AH25" s="72"/>
      <c r="AI25" s="75"/>
      <c r="AJ25" s="72"/>
      <c r="AK25" s="75"/>
      <c r="AL25" s="72"/>
      <c r="AM25" s="75"/>
      <c r="AN25" s="76"/>
      <c r="AO25" s="174"/>
      <c r="AP25" s="991"/>
      <c r="AQ25" s="595"/>
      <c r="AR25" s="91"/>
      <c r="AS25" s="93"/>
      <c r="AT25" s="76"/>
      <c r="AU25" s="78"/>
      <c r="AV25" s="106">
        <f t="shared" si="0"/>
        <v>0</v>
      </c>
      <c r="AW25" s="106">
        <f t="shared" si="1"/>
        <v>0</v>
      </c>
      <c r="AX25" s="266"/>
      <c r="AY25" s="92"/>
      <c r="AZ25" s="104">
        <f t="shared" si="2"/>
        <v>0</v>
      </c>
      <c r="BA25" s="104"/>
    </row>
    <row r="26" spans="1:53" s="70" customFormat="1" ht="14.25">
      <c r="A26" s="312" t="s">
        <v>49</v>
      </c>
      <c r="B26" s="101"/>
      <c r="C26" s="71"/>
      <c r="D26" s="72"/>
      <c r="E26" s="74"/>
      <c r="F26" s="77"/>
      <c r="G26" s="86"/>
      <c r="H26" s="76"/>
      <c r="I26" s="86"/>
      <c r="J26" s="76"/>
      <c r="K26" s="78"/>
      <c r="L26" s="77"/>
      <c r="M26" s="86"/>
      <c r="N26" s="76"/>
      <c r="O26" s="594"/>
      <c r="P26" s="102"/>
      <c r="Q26" s="73"/>
      <c r="R26" s="73"/>
      <c r="S26" s="75"/>
      <c r="T26" s="72"/>
      <c r="U26" s="75"/>
      <c r="V26" s="76"/>
      <c r="W26" s="86"/>
      <c r="X26" s="72"/>
      <c r="Y26" s="75"/>
      <c r="Z26" s="847"/>
      <c r="AA26" s="80"/>
      <c r="AB26" s="102"/>
      <c r="AC26" s="75"/>
      <c r="AD26" s="72"/>
      <c r="AE26" s="75"/>
      <c r="AF26" s="72"/>
      <c r="AG26" s="75"/>
      <c r="AH26" s="72"/>
      <c r="AI26" s="75"/>
      <c r="AJ26" s="72"/>
      <c r="AK26" s="75"/>
      <c r="AL26" s="72"/>
      <c r="AM26" s="75"/>
      <c r="AN26" s="76"/>
      <c r="AO26" s="174"/>
      <c r="AP26" s="991"/>
      <c r="AQ26" s="595"/>
      <c r="AR26" s="91"/>
      <c r="AS26" s="93"/>
      <c r="AT26" s="76"/>
      <c r="AU26" s="78"/>
      <c r="AV26" s="106">
        <f t="shared" si="0"/>
        <v>0</v>
      </c>
      <c r="AW26" s="106">
        <f t="shared" si="1"/>
        <v>0</v>
      </c>
      <c r="AX26" s="266"/>
      <c r="AY26" s="92"/>
      <c r="AZ26" s="104">
        <f t="shared" si="2"/>
        <v>0</v>
      </c>
      <c r="BA26" s="104"/>
    </row>
    <row r="27" spans="1:53" s="70" customFormat="1" ht="14.25">
      <c r="A27" s="312" t="s">
        <v>50</v>
      </c>
      <c r="B27" s="101">
        <v>-98.29</v>
      </c>
      <c r="C27" s="71">
        <v>-248</v>
      </c>
      <c r="D27" s="72">
        <v>-2.68</v>
      </c>
      <c r="E27" s="74">
        <v>-16</v>
      </c>
      <c r="F27" s="77"/>
      <c r="G27" s="86"/>
      <c r="H27" s="76">
        <v>-189.15</v>
      </c>
      <c r="I27" s="86">
        <f>-17-4</f>
        <v>-21</v>
      </c>
      <c r="J27" s="76"/>
      <c r="K27" s="78">
        <v>-1</v>
      </c>
      <c r="L27" s="77"/>
      <c r="M27" s="86"/>
      <c r="N27" s="76">
        <v>-2.75</v>
      </c>
      <c r="O27" s="594">
        <v>-3</v>
      </c>
      <c r="P27" s="102">
        <v>-19</v>
      </c>
      <c r="Q27" s="73">
        <v>-50</v>
      </c>
      <c r="R27" s="73"/>
      <c r="S27" s="75"/>
      <c r="T27" s="72">
        <v>-30</v>
      </c>
      <c r="U27" s="75">
        <v>-50</v>
      </c>
      <c r="V27" s="76">
        <v>-834</v>
      </c>
      <c r="W27" s="86">
        <v>-823</v>
      </c>
      <c r="X27" s="72">
        <v>-1406.42</v>
      </c>
      <c r="Y27" s="75">
        <v>-2257</v>
      </c>
      <c r="Z27" s="847"/>
      <c r="AA27" s="80"/>
      <c r="AB27" s="102">
        <v>-34.51</v>
      </c>
      <c r="AC27" s="75">
        <v>-51.44</v>
      </c>
      <c r="AD27" s="72"/>
      <c r="AE27" s="75"/>
      <c r="AF27" s="72">
        <v>-289.14</v>
      </c>
      <c r="AG27" s="75">
        <v>-424</v>
      </c>
      <c r="AH27" s="72">
        <v>-77.78</v>
      </c>
      <c r="AI27" s="75">
        <v>-64</v>
      </c>
      <c r="AJ27" s="72">
        <v>-9.7100000000000009</v>
      </c>
      <c r="AK27" s="75">
        <v>-10</v>
      </c>
      <c r="AL27" s="72"/>
      <c r="AM27" s="75"/>
      <c r="AN27" s="173">
        <v>-21.67</v>
      </c>
      <c r="AO27" s="174">
        <v>-24</v>
      </c>
      <c r="AP27" s="991"/>
      <c r="AQ27" s="595"/>
      <c r="AR27" s="91">
        <v>-118.41</v>
      </c>
      <c r="AS27" s="93">
        <v>-109</v>
      </c>
      <c r="AT27" s="76"/>
      <c r="AU27" s="78"/>
      <c r="AV27" s="106">
        <f t="shared" si="0"/>
        <v>-3133.51</v>
      </c>
      <c r="AW27" s="106">
        <f t="shared" si="1"/>
        <v>-4151.4400000000005</v>
      </c>
      <c r="AX27" s="266"/>
      <c r="AY27" s="92"/>
      <c r="AZ27" s="104">
        <f t="shared" si="2"/>
        <v>-3133.51</v>
      </c>
      <c r="BA27" s="104">
        <f>AW27+AY27</f>
        <v>-4151.4400000000005</v>
      </c>
    </row>
    <row r="28" spans="1:53" s="70" customFormat="1" ht="14.25">
      <c r="A28" s="312" t="s">
        <v>51</v>
      </c>
      <c r="B28" s="101"/>
      <c r="C28" s="71"/>
      <c r="D28" s="72">
        <v>-42.85</v>
      </c>
      <c r="E28" s="74">
        <v>-217</v>
      </c>
      <c r="F28" s="77"/>
      <c r="G28" s="86"/>
      <c r="H28" s="76">
        <v>-20.399999999999999</v>
      </c>
      <c r="I28" s="86">
        <v>-151</v>
      </c>
      <c r="J28" s="76">
        <v>-17</v>
      </c>
      <c r="K28" s="78">
        <v>-10</v>
      </c>
      <c r="L28" s="77"/>
      <c r="M28" s="86"/>
      <c r="N28" s="76"/>
      <c r="O28" s="594"/>
      <c r="P28" s="102"/>
      <c r="Q28" s="73"/>
      <c r="R28" s="73"/>
      <c r="S28" s="75"/>
      <c r="T28" s="72"/>
      <c r="U28" s="75"/>
      <c r="V28" s="76"/>
      <c r="W28" s="86"/>
      <c r="X28" s="72"/>
      <c r="Y28" s="75">
        <v>-5</v>
      </c>
      <c r="Z28" s="847"/>
      <c r="AA28" s="80"/>
      <c r="AB28" s="102"/>
      <c r="AC28" s="75"/>
      <c r="AD28" s="72"/>
      <c r="AE28" s="75">
        <v>-23</v>
      </c>
      <c r="AF28" s="72"/>
      <c r="AG28" s="75"/>
      <c r="AH28" s="72"/>
      <c r="AI28" s="75"/>
      <c r="AJ28" s="72"/>
      <c r="AK28" s="75"/>
      <c r="AL28" s="72"/>
      <c r="AM28" s="75"/>
      <c r="AN28" s="173"/>
      <c r="AO28" s="174"/>
      <c r="AP28" s="991"/>
      <c r="AQ28" s="595"/>
      <c r="AR28" s="91"/>
      <c r="AS28" s="93"/>
      <c r="AT28" s="76"/>
      <c r="AU28" s="78"/>
      <c r="AV28" s="106">
        <f t="shared" si="0"/>
        <v>-80.25</v>
      </c>
      <c r="AW28" s="106">
        <f t="shared" si="1"/>
        <v>-406</v>
      </c>
      <c r="AX28" s="266"/>
      <c r="AY28" s="92"/>
      <c r="AZ28" s="104">
        <f t="shared" si="2"/>
        <v>-80.25</v>
      </c>
      <c r="BA28" s="104">
        <f>AW28+AY28</f>
        <v>-406</v>
      </c>
    </row>
    <row r="29" spans="1:53" s="70" customFormat="1" ht="14.25">
      <c r="A29" s="312" t="s">
        <v>52</v>
      </c>
      <c r="B29" s="109"/>
      <c r="C29" s="71"/>
      <c r="D29" s="81"/>
      <c r="E29" s="74"/>
      <c r="F29" s="97"/>
      <c r="G29" s="86"/>
      <c r="H29" s="94"/>
      <c r="I29" s="86"/>
      <c r="J29" s="94"/>
      <c r="K29" s="78"/>
      <c r="L29" s="97"/>
      <c r="M29" s="86"/>
      <c r="N29" s="94"/>
      <c r="O29" s="594"/>
      <c r="P29" s="110"/>
      <c r="Q29" s="73"/>
      <c r="R29" s="84"/>
      <c r="S29" s="75"/>
      <c r="T29" s="81"/>
      <c r="U29" s="75"/>
      <c r="V29" s="94"/>
      <c r="W29" s="86"/>
      <c r="X29" s="81"/>
      <c r="Y29" s="75"/>
      <c r="Z29" s="79"/>
      <c r="AA29" s="80"/>
      <c r="AB29" s="110"/>
      <c r="AC29" s="75"/>
      <c r="AD29" s="111"/>
      <c r="AE29" s="75"/>
      <c r="AF29" s="81"/>
      <c r="AG29" s="75"/>
      <c r="AH29" s="81"/>
      <c r="AI29" s="75"/>
      <c r="AJ29" s="81"/>
      <c r="AK29" s="75"/>
      <c r="AL29" s="72"/>
      <c r="AM29" s="75"/>
      <c r="AN29" s="76"/>
      <c r="AO29" s="78"/>
      <c r="AP29" s="991"/>
      <c r="AQ29" s="595"/>
      <c r="AR29" s="91"/>
      <c r="AS29" s="93"/>
      <c r="AT29" s="94"/>
      <c r="AU29" s="98"/>
      <c r="AV29" s="106">
        <f t="shared" si="0"/>
        <v>0</v>
      </c>
      <c r="AW29" s="106">
        <f t="shared" si="1"/>
        <v>0</v>
      </c>
      <c r="AX29" s="104"/>
      <c r="AY29" s="97"/>
      <c r="AZ29" s="104">
        <f t="shared" si="2"/>
        <v>0</v>
      </c>
      <c r="BA29" s="104"/>
    </row>
    <row r="30" spans="1:53" s="70" customFormat="1" ht="14.25">
      <c r="A30" s="312" t="s">
        <v>31</v>
      </c>
      <c r="B30" s="101"/>
      <c r="C30" s="71"/>
      <c r="D30" s="72"/>
      <c r="E30" s="74"/>
      <c r="F30" s="77"/>
      <c r="G30" s="86"/>
      <c r="H30" s="76"/>
      <c r="I30" s="86"/>
      <c r="J30" s="76"/>
      <c r="K30" s="78"/>
      <c r="L30" s="77"/>
      <c r="M30" s="86"/>
      <c r="N30" s="76"/>
      <c r="O30" s="594"/>
      <c r="P30" s="102"/>
      <c r="Q30" s="73"/>
      <c r="R30" s="73"/>
      <c r="S30" s="75"/>
      <c r="T30" s="72"/>
      <c r="U30" s="75"/>
      <c r="V30" s="76"/>
      <c r="W30" s="86"/>
      <c r="X30" s="72"/>
      <c r="Y30" s="75"/>
      <c r="Z30" s="79"/>
      <c r="AA30" s="80"/>
      <c r="AB30" s="102"/>
      <c r="AC30" s="75"/>
      <c r="AD30" s="72"/>
      <c r="AE30" s="75"/>
      <c r="AF30" s="72"/>
      <c r="AG30" s="75"/>
      <c r="AH30" s="72"/>
      <c r="AI30" s="75"/>
      <c r="AJ30" s="72"/>
      <c r="AK30" s="75"/>
      <c r="AL30" s="72"/>
      <c r="AM30" s="75"/>
      <c r="AN30" s="76"/>
      <c r="AO30" s="78"/>
      <c r="AP30" s="991"/>
      <c r="AQ30" s="595"/>
      <c r="AR30" s="91"/>
      <c r="AS30" s="93"/>
      <c r="AT30" s="76"/>
      <c r="AU30" s="78"/>
      <c r="AV30" s="106">
        <f t="shared" si="0"/>
        <v>0</v>
      </c>
      <c r="AW30" s="106">
        <f t="shared" si="1"/>
        <v>0</v>
      </c>
      <c r="AX30" s="266"/>
      <c r="AY30" s="92"/>
      <c r="AZ30" s="104">
        <f t="shared" si="2"/>
        <v>0</v>
      </c>
      <c r="BA30" s="104">
        <f>AW30+AY30</f>
        <v>0</v>
      </c>
    </row>
    <row r="31" spans="1:53" s="70" customFormat="1" ht="14.25">
      <c r="A31" s="312" t="s">
        <v>32</v>
      </c>
      <c r="B31" s="101"/>
      <c r="C31" s="71"/>
      <c r="D31" s="72"/>
      <c r="E31" s="74"/>
      <c r="F31" s="77"/>
      <c r="G31" s="86"/>
      <c r="H31" s="76"/>
      <c r="I31" s="86"/>
      <c r="J31" s="76"/>
      <c r="K31" s="78"/>
      <c r="L31" s="77"/>
      <c r="M31" s="86"/>
      <c r="N31" s="76"/>
      <c r="O31" s="594"/>
      <c r="P31" s="102"/>
      <c r="Q31" s="73"/>
      <c r="R31" s="73"/>
      <c r="S31" s="75"/>
      <c r="T31" s="72"/>
      <c r="U31" s="75"/>
      <c r="V31" s="76"/>
      <c r="W31" s="86"/>
      <c r="X31" s="72"/>
      <c r="Y31" s="75"/>
      <c r="Z31" s="79"/>
      <c r="AA31" s="80"/>
      <c r="AB31" s="102"/>
      <c r="AC31" s="75"/>
      <c r="AD31" s="72"/>
      <c r="AE31" s="75"/>
      <c r="AF31" s="72"/>
      <c r="AG31" s="75"/>
      <c r="AH31" s="72"/>
      <c r="AI31" s="75"/>
      <c r="AJ31" s="72"/>
      <c r="AK31" s="75"/>
      <c r="AL31" s="72"/>
      <c r="AM31" s="75"/>
      <c r="AN31" s="76"/>
      <c r="AO31" s="78"/>
      <c r="AP31" s="991"/>
      <c r="AQ31" s="595"/>
      <c r="AR31" s="91"/>
      <c r="AS31" s="93"/>
      <c r="AT31" s="76"/>
      <c r="AU31" s="78"/>
      <c r="AV31" s="106">
        <f t="shared" si="0"/>
        <v>0</v>
      </c>
      <c r="AW31" s="106">
        <f t="shared" si="1"/>
        <v>0</v>
      </c>
      <c r="AX31" s="266"/>
      <c r="AY31" s="92"/>
      <c r="AZ31" s="104">
        <f t="shared" si="2"/>
        <v>0</v>
      </c>
      <c r="BA31" s="104"/>
    </row>
    <row r="32" spans="1:53" s="70" customFormat="1" ht="14.25">
      <c r="A32" s="312" t="s">
        <v>49</v>
      </c>
      <c r="B32" s="101"/>
      <c r="C32" s="71"/>
      <c r="D32" s="72"/>
      <c r="E32" s="74"/>
      <c r="F32" s="77"/>
      <c r="G32" s="86"/>
      <c r="H32" s="76"/>
      <c r="I32" s="86"/>
      <c r="J32" s="76"/>
      <c r="K32" s="78"/>
      <c r="L32" s="77"/>
      <c r="M32" s="86"/>
      <c r="N32" s="76"/>
      <c r="O32" s="594"/>
      <c r="P32" s="102"/>
      <c r="Q32" s="73"/>
      <c r="R32" s="73"/>
      <c r="S32" s="75"/>
      <c r="T32" s="72"/>
      <c r="U32" s="75"/>
      <c r="V32" s="76"/>
      <c r="W32" s="86"/>
      <c r="X32" s="72"/>
      <c r="Y32" s="75"/>
      <c r="Z32" s="79"/>
      <c r="AA32" s="80"/>
      <c r="AB32" s="102"/>
      <c r="AC32" s="75"/>
      <c r="AD32" s="72"/>
      <c r="AE32" s="75"/>
      <c r="AF32" s="72"/>
      <c r="AG32" s="75"/>
      <c r="AH32" s="72"/>
      <c r="AI32" s="75"/>
      <c r="AJ32" s="72"/>
      <c r="AK32" s="75"/>
      <c r="AL32" s="72"/>
      <c r="AM32" s="75"/>
      <c r="AN32" s="76"/>
      <c r="AO32" s="78"/>
      <c r="AP32" s="991"/>
      <c r="AQ32" s="595"/>
      <c r="AR32" s="91"/>
      <c r="AS32" s="93"/>
      <c r="AT32" s="76"/>
      <c r="AU32" s="78"/>
      <c r="AV32" s="106">
        <f t="shared" si="0"/>
        <v>0</v>
      </c>
      <c r="AW32" s="106">
        <f>SUM(C32+E32+G32+I32+K32+M32+O32+Q32+S32+U32+W32+Y32+AA32+AC32+AE32+AG32+AI32+AK32+AM32+AO32+AQ32+AS32+AU32)</f>
        <v>0</v>
      </c>
      <c r="AX32" s="266"/>
      <c r="AY32" s="92"/>
      <c r="AZ32" s="104">
        <f t="shared" si="2"/>
        <v>0</v>
      </c>
      <c r="BA32" s="104"/>
    </row>
    <row r="33" spans="1:58" s="70" customFormat="1" thickBot="1">
      <c r="A33" s="876" t="s">
        <v>53</v>
      </c>
      <c r="B33" s="112"/>
      <c r="C33" s="71"/>
      <c r="D33" s="118"/>
      <c r="E33" s="74"/>
      <c r="F33" s="117"/>
      <c r="G33" s="86"/>
      <c r="H33" s="119">
        <v>-2.4</v>
      </c>
      <c r="I33" s="86"/>
      <c r="J33" s="119"/>
      <c r="K33" s="78"/>
      <c r="L33" s="117"/>
      <c r="M33" s="86"/>
      <c r="N33" s="119"/>
      <c r="O33" s="594"/>
      <c r="P33" s="113"/>
      <c r="Q33" s="73"/>
      <c r="R33" s="114"/>
      <c r="S33" s="75"/>
      <c r="T33" s="118"/>
      <c r="U33" s="75"/>
      <c r="V33" s="119"/>
      <c r="W33" s="86"/>
      <c r="X33" s="118"/>
      <c r="Y33" s="75"/>
      <c r="Z33" s="952"/>
      <c r="AA33" s="953"/>
      <c r="AB33" s="113"/>
      <c r="AC33" s="75"/>
      <c r="AD33" s="118"/>
      <c r="AE33" s="75"/>
      <c r="AF33" s="118"/>
      <c r="AG33" s="75"/>
      <c r="AH33" s="118"/>
      <c r="AI33" s="75"/>
      <c r="AJ33" s="118"/>
      <c r="AK33" s="75"/>
      <c r="AL33" s="118"/>
      <c r="AM33" s="75"/>
      <c r="AN33" s="175"/>
      <c r="AO33" s="176"/>
      <c r="AP33" s="992"/>
      <c r="AQ33" s="596"/>
      <c r="AR33" s="121"/>
      <c r="AS33" s="258"/>
      <c r="AT33" s="119"/>
      <c r="AU33" s="115"/>
      <c r="AV33" s="106">
        <f t="shared" si="0"/>
        <v>-2.4</v>
      </c>
      <c r="AW33" s="106">
        <f t="shared" si="1"/>
        <v>0</v>
      </c>
      <c r="AX33" s="864"/>
      <c r="AY33" s="122"/>
      <c r="AZ33" s="125">
        <f t="shared" si="2"/>
        <v>-2.4</v>
      </c>
      <c r="BA33" s="125"/>
    </row>
    <row r="34" spans="1:58" s="391" customFormat="1" thickBot="1">
      <c r="A34" s="423" t="s">
        <v>54</v>
      </c>
      <c r="B34" s="882">
        <f t="shared" ref="B34:AG34" si="4">SUM(B6:B33)</f>
        <v>170032.68999999997</v>
      </c>
      <c r="C34" s="883">
        <f t="shared" si="4"/>
        <v>330019</v>
      </c>
      <c r="D34" s="882">
        <f t="shared" si="4"/>
        <v>9602.9999999999982</v>
      </c>
      <c r="E34" s="883">
        <f t="shared" si="4"/>
        <v>20690</v>
      </c>
      <c r="F34" s="882">
        <f t="shared" si="4"/>
        <v>40884</v>
      </c>
      <c r="G34" s="884">
        <f t="shared" si="4"/>
        <v>56478</v>
      </c>
      <c r="H34" s="882">
        <f t="shared" si="4"/>
        <v>202909.95999999996</v>
      </c>
      <c r="I34" s="884">
        <f t="shared" si="4"/>
        <v>394987</v>
      </c>
      <c r="J34" s="882">
        <f t="shared" si="4"/>
        <v>18826.43</v>
      </c>
      <c r="K34" s="883">
        <f t="shared" si="4"/>
        <v>40212</v>
      </c>
      <c r="L34" s="882">
        <f t="shared" si="4"/>
        <v>75159.179999999993</v>
      </c>
      <c r="M34" s="884">
        <f t="shared" si="4"/>
        <v>130397</v>
      </c>
      <c r="N34" s="882">
        <f t="shared" si="4"/>
        <v>12026.92</v>
      </c>
      <c r="O34" s="883">
        <f t="shared" si="4"/>
        <v>26471</v>
      </c>
      <c r="P34" s="885">
        <f t="shared" si="4"/>
        <v>5881</v>
      </c>
      <c r="Q34" s="883">
        <f t="shared" si="4"/>
        <v>14399</v>
      </c>
      <c r="R34" s="882">
        <f t="shared" si="4"/>
        <v>66703</v>
      </c>
      <c r="S34" s="884">
        <f t="shared" si="4"/>
        <v>97431</v>
      </c>
      <c r="T34" s="882">
        <f t="shared" si="4"/>
        <v>22859</v>
      </c>
      <c r="U34" s="884">
        <f t="shared" si="4"/>
        <v>26090</v>
      </c>
      <c r="V34" s="883">
        <f t="shared" si="4"/>
        <v>751970</v>
      </c>
      <c r="W34" s="884">
        <f t="shared" si="4"/>
        <v>1389476</v>
      </c>
      <c r="X34" s="882">
        <f t="shared" si="4"/>
        <v>746204.59</v>
      </c>
      <c r="Y34" s="884">
        <f t="shared" si="4"/>
        <v>797477</v>
      </c>
      <c r="Z34" s="950">
        <f t="shared" si="4"/>
        <v>36759.82</v>
      </c>
      <c r="AA34" s="951">
        <f>SUM(AA6:AA33)</f>
        <v>24658</v>
      </c>
      <c r="AB34" s="882">
        <f t="shared" si="4"/>
        <v>236160.75999999995</v>
      </c>
      <c r="AC34" s="884">
        <f t="shared" si="4"/>
        <v>248539.23</v>
      </c>
      <c r="AD34" s="882">
        <f t="shared" si="4"/>
        <v>157146.63</v>
      </c>
      <c r="AE34" s="884">
        <f t="shared" si="4"/>
        <v>277781</v>
      </c>
      <c r="AF34" s="882">
        <f t="shared" si="4"/>
        <v>263938.48000000004</v>
      </c>
      <c r="AG34" s="884">
        <f t="shared" si="4"/>
        <v>471673</v>
      </c>
      <c r="AH34" s="882">
        <f t="shared" ref="AH34:AS34" si="5">SUM(AH6:AH33)</f>
        <v>104722.92</v>
      </c>
      <c r="AI34" s="883">
        <f t="shared" si="5"/>
        <v>148204</v>
      </c>
      <c r="AJ34" s="882">
        <f t="shared" si="5"/>
        <v>100880.23</v>
      </c>
      <c r="AK34" s="884">
        <f t="shared" si="5"/>
        <v>154881</v>
      </c>
      <c r="AL34" s="882">
        <f t="shared" si="5"/>
        <v>0</v>
      </c>
      <c r="AM34" s="883">
        <f t="shared" si="5"/>
        <v>0</v>
      </c>
      <c r="AN34" s="950">
        <f t="shared" si="5"/>
        <v>925243.78999999992</v>
      </c>
      <c r="AO34" s="951">
        <f t="shared" si="5"/>
        <v>1745088</v>
      </c>
      <c r="AP34" s="882">
        <f>SUM(AP6:AP33)</f>
        <v>18071.690000000002</v>
      </c>
      <c r="AQ34" s="883">
        <f t="shared" si="5"/>
        <v>42077.47</v>
      </c>
      <c r="AR34" s="882">
        <f t="shared" si="5"/>
        <v>51556.66</v>
      </c>
      <c r="AS34" s="883">
        <f t="shared" si="5"/>
        <v>68454</v>
      </c>
      <c r="AT34" s="882">
        <f>SUM(AT6:AT33)</f>
        <v>103908.34999999999</v>
      </c>
      <c r="AU34" s="883">
        <f>SUM(AU6:AU33)</f>
        <v>201300</v>
      </c>
      <c r="AV34" s="106">
        <f t="shared" si="0"/>
        <v>4121449.0999999996</v>
      </c>
      <c r="AW34" s="106">
        <f t="shared" si="1"/>
        <v>6706782.7000000002</v>
      </c>
      <c r="AX34" s="383">
        <f>SUM(AX6:AX33)</f>
        <v>0</v>
      </c>
      <c r="AY34" s="380">
        <f>SUM(AY6:AY33)</f>
        <v>0</v>
      </c>
      <c r="AZ34" s="889">
        <f t="shared" si="2"/>
        <v>4121449.0999999996</v>
      </c>
      <c r="BA34" s="390">
        <f>AW34+AY34</f>
        <v>6706782.7000000002</v>
      </c>
    </row>
    <row r="35" spans="1:58" s="70" customFormat="1" thickBot="1">
      <c r="A35" s="424" t="s">
        <v>55</v>
      </c>
      <c r="B35" s="177"/>
      <c r="C35" s="178"/>
      <c r="D35" s="177"/>
      <c r="E35" s="178"/>
      <c r="F35" s="415"/>
      <c r="G35" s="879"/>
      <c r="H35" s="131"/>
      <c r="I35" s="130"/>
      <c r="J35" s="877"/>
      <c r="K35" s="416"/>
      <c r="L35" s="130"/>
      <c r="M35" s="130"/>
      <c r="N35" s="131"/>
      <c r="O35" s="129"/>
      <c r="P35" s="128"/>
      <c r="Q35" s="128"/>
      <c r="R35" s="128"/>
      <c r="S35" s="128"/>
      <c r="T35" s="127"/>
      <c r="U35" s="128"/>
      <c r="V35" s="131"/>
      <c r="W35" s="130"/>
      <c r="X35" s="127"/>
      <c r="Y35" s="128"/>
      <c r="Z35" s="127"/>
      <c r="AA35" s="128"/>
      <c r="AB35" s="127"/>
      <c r="AC35" s="128"/>
      <c r="AD35" s="127"/>
      <c r="AE35" s="128"/>
      <c r="AF35" s="127"/>
      <c r="AG35" s="128"/>
      <c r="AH35" s="127"/>
      <c r="AI35" s="128"/>
      <c r="AJ35" s="127"/>
      <c r="AK35" s="128"/>
      <c r="AL35" s="177"/>
      <c r="AM35" s="178"/>
      <c r="AN35" s="131"/>
      <c r="AO35" s="129"/>
      <c r="AP35" s="89"/>
      <c r="AQ35" s="88"/>
      <c r="AR35" s="89"/>
      <c r="AS35" s="88"/>
      <c r="AT35" s="89"/>
      <c r="AU35" s="88"/>
      <c r="AV35" s="106">
        <f t="shared" si="0"/>
        <v>0</v>
      </c>
      <c r="AW35" s="106">
        <f t="shared" si="1"/>
        <v>0</v>
      </c>
      <c r="AX35" s="417"/>
      <c r="AY35" s="415"/>
      <c r="AZ35" s="257">
        <f t="shared" si="2"/>
        <v>0</v>
      </c>
      <c r="BA35" s="257"/>
    </row>
    <row r="36" spans="1:58" s="70" customFormat="1" thickBot="1">
      <c r="A36" s="424" t="s">
        <v>56</v>
      </c>
      <c r="B36" s="421">
        <f t="shared" ref="B36:AH36" si="6">B34</f>
        <v>170032.68999999997</v>
      </c>
      <c r="C36" s="427">
        <f t="shared" si="6"/>
        <v>330019</v>
      </c>
      <c r="D36" s="421">
        <f t="shared" si="6"/>
        <v>9602.9999999999982</v>
      </c>
      <c r="E36" s="427">
        <f t="shared" si="6"/>
        <v>20690</v>
      </c>
      <c r="F36" s="410">
        <f t="shared" si="6"/>
        <v>40884</v>
      </c>
      <c r="G36" s="880">
        <f t="shared" si="6"/>
        <v>56478</v>
      </c>
      <c r="H36" s="131">
        <f t="shared" si="6"/>
        <v>202909.95999999996</v>
      </c>
      <c r="I36" s="130">
        <f t="shared" si="6"/>
        <v>394987</v>
      </c>
      <c r="J36" s="878">
        <f t="shared" si="6"/>
        <v>18826.43</v>
      </c>
      <c r="K36" s="411">
        <f t="shared" si="6"/>
        <v>40212</v>
      </c>
      <c r="L36" s="130">
        <f t="shared" si="6"/>
        <v>75159.179999999993</v>
      </c>
      <c r="M36" s="130">
        <f t="shared" si="6"/>
        <v>130397</v>
      </c>
      <c r="N36" s="131">
        <f t="shared" si="6"/>
        <v>12026.92</v>
      </c>
      <c r="O36" s="129">
        <f t="shared" si="6"/>
        <v>26471</v>
      </c>
      <c r="P36" s="130">
        <f t="shared" si="6"/>
        <v>5881</v>
      </c>
      <c r="Q36" s="130">
        <f t="shared" si="6"/>
        <v>14399</v>
      </c>
      <c r="R36" s="130">
        <f t="shared" si="6"/>
        <v>66703</v>
      </c>
      <c r="S36" s="130">
        <f t="shared" si="6"/>
        <v>97431</v>
      </c>
      <c r="T36" s="131">
        <f t="shared" si="6"/>
        <v>22859</v>
      </c>
      <c r="U36" s="130">
        <f t="shared" si="6"/>
        <v>26090</v>
      </c>
      <c r="V36" s="131">
        <f t="shared" si="6"/>
        <v>751970</v>
      </c>
      <c r="W36" s="131">
        <f t="shared" si="6"/>
        <v>1389476</v>
      </c>
      <c r="X36" s="131">
        <v>79132299</v>
      </c>
      <c r="Y36" s="131">
        <f>Y34</f>
        <v>797477</v>
      </c>
      <c r="Z36" s="131">
        <f t="shared" si="6"/>
        <v>36759.82</v>
      </c>
      <c r="AA36" s="130">
        <f t="shared" si="6"/>
        <v>24658</v>
      </c>
      <c r="AB36" s="131">
        <f t="shared" si="6"/>
        <v>236160.75999999995</v>
      </c>
      <c r="AC36" s="130">
        <f t="shared" si="6"/>
        <v>248539.23</v>
      </c>
      <c r="AD36" s="131">
        <f t="shared" si="6"/>
        <v>157146.63</v>
      </c>
      <c r="AE36" s="130">
        <f t="shared" si="6"/>
        <v>277781</v>
      </c>
      <c r="AF36" s="131">
        <f t="shared" si="6"/>
        <v>263938.48000000004</v>
      </c>
      <c r="AG36" s="130">
        <f t="shared" si="6"/>
        <v>471673</v>
      </c>
      <c r="AH36" s="131">
        <f t="shared" si="6"/>
        <v>104722.92</v>
      </c>
      <c r="AI36" s="130">
        <f t="shared" ref="AI36:AN36" si="7">AI34</f>
        <v>148204</v>
      </c>
      <c r="AJ36" s="131">
        <f t="shared" si="7"/>
        <v>100880.23</v>
      </c>
      <c r="AK36" s="87">
        <f t="shared" si="7"/>
        <v>154881</v>
      </c>
      <c r="AL36" s="647">
        <f t="shared" si="7"/>
        <v>0</v>
      </c>
      <c r="AM36" s="887">
        <f t="shared" si="7"/>
        <v>0</v>
      </c>
      <c r="AN36" s="131">
        <f t="shared" si="7"/>
        <v>925243.78999999992</v>
      </c>
      <c r="AO36" s="129">
        <f t="shared" ref="AO36:AU36" si="8">AO34</f>
        <v>1745088</v>
      </c>
      <c r="AP36" s="890">
        <f t="shared" si="8"/>
        <v>18071.690000000002</v>
      </c>
      <c r="AQ36" s="891">
        <f t="shared" si="8"/>
        <v>42077.47</v>
      </c>
      <c r="AR36" s="890">
        <f t="shared" si="8"/>
        <v>51556.66</v>
      </c>
      <c r="AS36" s="891">
        <f t="shared" si="8"/>
        <v>68454</v>
      </c>
      <c r="AT36" s="890">
        <f t="shared" si="8"/>
        <v>103908.34999999999</v>
      </c>
      <c r="AU36" s="891">
        <f t="shared" si="8"/>
        <v>201300</v>
      </c>
      <c r="AV36" s="106">
        <f t="shared" si="0"/>
        <v>82507543.510000005</v>
      </c>
      <c r="AW36" s="106">
        <f t="shared" si="1"/>
        <v>6706782.7000000002</v>
      </c>
      <c r="AX36" s="418">
        <f>AX34</f>
        <v>0</v>
      </c>
      <c r="AY36" s="410">
        <f>AY34</f>
        <v>0</v>
      </c>
      <c r="AZ36" s="889">
        <f t="shared" si="2"/>
        <v>82507543.510000005</v>
      </c>
      <c r="BA36" s="892">
        <f>AW36+AY36</f>
        <v>6706782.7000000002</v>
      </c>
    </row>
    <row r="37" spans="1:58" s="70" customFormat="1" thickBot="1">
      <c r="A37" s="425" t="s">
        <v>57</v>
      </c>
      <c r="B37" s="420"/>
      <c r="C37" s="426"/>
      <c r="D37" s="420"/>
      <c r="E37" s="426"/>
      <c r="F37" s="415"/>
      <c r="G37" s="879"/>
      <c r="H37" s="89"/>
      <c r="I37" s="87"/>
      <c r="J37" s="877"/>
      <c r="K37" s="416"/>
      <c r="L37" s="87"/>
      <c r="M37" s="87"/>
      <c r="N37" s="89"/>
      <c r="O37" s="88"/>
      <c r="P37" s="108"/>
      <c r="Q37" s="108"/>
      <c r="R37" s="108"/>
      <c r="S37" s="108"/>
      <c r="T37" s="107"/>
      <c r="U37" s="108"/>
      <c r="V37" s="89"/>
      <c r="W37" s="87"/>
      <c r="X37" s="107"/>
      <c r="Y37" s="108"/>
      <c r="Z37" s="107"/>
      <c r="AA37" s="108"/>
      <c r="AB37" s="107"/>
      <c r="AC37" s="108"/>
      <c r="AD37" s="107"/>
      <c r="AE37" s="108"/>
      <c r="AF37" s="107"/>
      <c r="AG37" s="108"/>
      <c r="AH37" s="107"/>
      <c r="AI37" s="108"/>
      <c r="AJ37" s="107"/>
      <c r="AK37" s="886"/>
      <c r="AL37" s="888"/>
      <c r="AM37" s="256"/>
      <c r="AN37" s="89"/>
      <c r="AO37" s="88"/>
      <c r="AP37" s="89"/>
      <c r="AQ37" s="88"/>
      <c r="AR37" s="89"/>
      <c r="AS37" s="88"/>
      <c r="AT37" s="89"/>
      <c r="AU37" s="88"/>
      <c r="AV37" s="106">
        <f t="shared" si="0"/>
        <v>0</v>
      </c>
      <c r="AW37" s="106">
        <f t="shared" si="1"/>
        <v>0</v>
      </c>
      <c r="AX37" s="417"/>
      <c r="AY37" s="415"/>
      <c r="AZ37" s="257">
        <f t="shared" si="2"/>
        <v>0</v>
      </c>
      <c r="BA37" s="257"/>
    </row>
    <row r="38" spans="1:58" s="391" customFormat="1" thickBot="1">
      <c r="A38" s="423" t="s">
        <v>54</v>
      </c>
      <c r="B38" s="422">
        <f t="shared" ref="B38:AG38" si="9">B36</f>
        <v>170032.68999999997</v>
      </c>
      <c r="C38" s="428">
        <f t="shared" si="9"/>
        <v>330019</v>
      </c>
      <c r="D38" s="422">
        <f t="shared" si="9"/>
        <v>9602.9999999999982</v>
      </c>
      <c r="E38" s="428">
        <f t="shared" si="9"/>
        <v>20690</v>
      </c>
      <c r="F38" s="413">
        <f t="shared" si="9"/>
        <v>40884</v>
      </c>
      <c r="G38" s="881">
        <f t="shared" si="9"/>
        <v>56478</v>
      </c>
      <c r="H38" s="396">
        <f t="shared" si="9"/>
        <v>202909.95999999996</v>
      </c>
      <c r="I38" s="395">
        <f t="shared" si="9"/>
        <v>394987</v>
      </c>
      <c r="J38" s="412">
        <f t="shared" si="9"/>
        <v>18826.43</v>
      </c>
      <c r="K38" s="414">
        <f t="shared" si="9"/>
        <v>40212</v>
      </c>
      <c r="L38" s="395">
        <f t="shared" si="9"/>
        <v>75159.179999999993</v>
      </c>
      <c r="M38" s="395">
        <f t="shared" si="9"/>
        <v>130397</v>
      </c>
      <c r="N38" s="396">
        <f t="shared" si="9"/>
        <v>12026.92</v>
      </c>
      <c r="O38" s="394">
        <f t="shared" si="9"/>
        <v>26471</v>
      </c>
      <c r="P38" s="393">
        <f t="shared" si="9"/>
        <v>5881</v>
      </c>
      <c r="Q38" s="393">
        <f t="shared" si="9"/>
        <v>14399</v>
      </c>
      <c r="R38" s="393">
        <f t="shared" si="9"/>
        <v>66703</v>
      </c>
      <c r="S38" s="393">
        <f t="shared" si="9"/>
        <v>97431</v>
      </c>
      <c r="T38" s="392">
        <f t="shared" si="9"/>
        <v>22859</v>
      </c>
      <c r="U38" s="393">
        <f t="shared" si="9"/>
        <v>26090</v>
      </c>
      <c r="V38" s="396">
        <f t="shared" si="9"/>
        <v>751970</v>
      </c>
      <c r="W38" s="395">
        <f t="shared" si="9"/>
        <v>1389476</v>
      </c>
      <c r="X38" s="392">
        <f>X36</f>
        <v>79132299</v>
      </c>
      <c r="Y38" s="393">
        <f t="shared" si="9"/>
        <v>797477</v>
      </c>
      <c r="Z38" s="392">
        <f t="shared" si="9"/>
        <v>36759.82</v>
      </c>
      <c r="AA38" s="393">
        <f t="shared" si="9"/>
        <v>24658</v>
      </c>
      <c r="AB38" s="392">
        <f t="shared" si="9"/>
        <v>236160.75999999995</v>
      </c>
      <c r="AC38" s="393">
        <f t="shared" si="9"/>
        <v>248539.23</v>
      </c>
      <c r="AD38" s="392">
        <f t="shared" si="9"/>
        <v>157146.63</v>
      </c>
      <c r="AE38" s="393">
        <f t="shared" si="9"/>
        <v>277781</v>
      </c>
      <c r="AF38" s="392">
        <f t="shared" si="9"/>
        <v>263938.48000000004</v>
      </c>
      <c r="AG38" s="393">
        <f t="shared" si="9"/>
        <v>471673</v>
      </c>
      <c r="AH38" s="392">
        <f t="shared" ref="AH38:AU38" si="10">AH36</f>
        <v>104722.92</v>
      </c>
      <c r="AI38" s="393">
        <f t="shared" si="10"/>
        <v>148204</v>
      </c>
      <c r="AJ38" s="392">
        <f t="shared" si="10"/>
        <v>100880.23</v>
      </c>
      <c r="AK38" s="392">
        <f t="shared" si="10"/>
        <v>154881</v>
      </c>
      <c r="AL38" s="397">
        <f t="shared" si="10"/>
        <v>0</v>
      </c>
      <c r="AM38" s="398">
        <f t="shared" si="10"/>
        <v>0</v>
      </c>
      <c r="AN38" s="396">
        <f t="shared" si="10"/>
        <v>925243.78999999992</v>
      </c>
      <c r="AO38" s="394">
        <f t="shared" si="10"/>
        <v>1745088</v>
      </c>
      <c r="AP38" s="396">
        <f t="shared" si="10"/>
        <v>18071.690000000002</v>
      </c>
      <c r="AQ38" s="394">
        <f t="shared" si="10"/>
        <v>42077.47</v>
      </c>
      <c r="AR38" s="396">
        <f t="shared" si="10"/>
        <v>51556.66</v>
      </c>
      <c r="AS38" s="394">
        <f t="shared" si="10"/>
        <v>68454</v>
      </c>
      <c r="AT38" s="396">
        <f t="shared" si="10"/>
        <v>103908.34999999999</v>
      </c>
      <c r="AU38" s="394">
        <f t="shared" si="10"/>
        <v>201300</v>
      </c>
      <c r="AV38" s="106">
        <f t="shared" si="0"/>
        <v>82507543.510000005</v>
      </c>
      <c r="AW38" s="106">
        <f t="shared" si="1"/>
        <v>6706782.7000000002</v>
      </c>
      <c r="AX38" s="419">
        <f>AX36</f>
        <v>0</v>
      </c>
      <c r="AY38" s="413">
        <f>AY36</f>
        <v>0</v>
      </c>
      <c r="AZ38" s="889">
        <f t="shared" si="2"/>
        <v>82507543.510000005</v>
      </c>
      <c r="BA38" s="390">
        <f>AW38+AY38</f>
        <v>6706782.7000000002</v>
      </c>
      <c r="BE38" s="388">
        <f>BA38-BA11</f>
        <v>4167771.7</v>
      </c>
      <c r="BF38" s="388" t="e">
        <f>#REF!-#REF!</f>
        <v>#REF!</v>
      </c>
    </row>
    <row r="39" spans="1:58" s="70" customFormat="1" ht="14.25">
      <c r="A39" s="59"/>
      <c r="V39" s="132"/>
      <c r="W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</row>
  </sheetData>
  <mergeCells count="29">
    <mergeCell ref="A1:AZ1"/>
    <mergeCell ref="A2:AZ2"/>
    <mergeCell ref="A3:A4"/>
    <mergeCell ref="P3:Q3"/>
    <mergeCell ref="B3:C3"/>
    <mergeCell ref="D3:E3"/>
    <mergeCell ref="F3:G3"/>
    <mergeCell ref="H3:I3"/>
    <mergeCell ref="J3:K3"/>
    <mergeCell ref="L3:M3"/>
    <mergeCell ref="AL3:AM3"/>
    <mergeCell ref="N3: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Z3:BA3"/>
    <mergeCell ref="AN3:AO3"/>
    <mergeCell ref="AP3:AQ3"/>
    <mergeCell ref="AR3:AS3"/>
    <mergeCell ref="AT3:AU3"/>
    <mergeCell ref="AV3:AW3"/>
    <mergeCell ref="AX3:AY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14"/>
  <sheetViews>
    <sheetView workbookViewId="0">
      <pane xSplit="1" topLeftCell="B1" activePane="topRight" state="frozen"/>
      <selection pane="topRight" activeCell="A2" sqref="A2:A3"/>
    </sheetView>
  </sheetViews>
  <sheetFormatPr defaultRowHeight="16.5"/>
  <cols>
    <col min="1" max="1" width="45.42578125" style="66" bestFit="1" customWidth="1"/>
    <col min="2" max="3" width="10.42578125" style="66" bestFit="1" customWidth="1"/>
    <col min="4" max="5" width="10.42578125" style="66" customWidth="1"/>
    <col min="6" max="7" width="10.42578125" style="66" bestFit="1" customWidth="1"/>
    <col min="8" max="8" width="12.85546875" style="66" bestFit="1" customWidth="1"/>
    <col min="9" max="9" width="11.5703125" style="66" bestFit="1" customWidth="1"/>
    <col min="10" max="15" width="10.42578125" style="66" bestFit="1" customWidth="1"/>
    <col min="16" max="16" width="12.85546875" style="66" bestFit="1" customWidth="1"/>
    <col min="17" max="29" width="10.42578125" style="66" bestFit="1" customWidth="1"/>
    <col min="30" max="30" width="12.85546875" style="66" bestFit="1" customWidth="1"/>
    <col min="31" max="31" width="10.42578125" style="66" bestFit="1" customWidth="1"/>
    <col min="32" max="32" width="11.5703125" style="66" bestFit="1" customWidth="1"/>
    <col min="33" max="35" width="10.42578125" style="66" bestFit="1" customWidth="1"/>
    <col min="36" max="36" width="11.5703125" style="66" bestFit="1" customWidth="1"/>
    <col min="37" max="41" width="10.42578125" style="66" bestFit="1" customWidth="1"/>
    <col min="42" max="42" width="11.5703125" style="66" bestFit="1" customWidth="1"/>
    <col min="43" max="43" width="10.42578125" style="66" bestFit="1" customWidth="1"/>
    <col min="44" max="44" width="11.5703125" style="66" bestFit="1" customWidth="1"/>
    <col min="45" max="47" width="10.42578125" style="66" bestFit="1" customWidth="1"/>
    <col min="48" max="48" width="14.28515625" style="66" bestFit="1" customWidth="1"/>
    <col min="49" max="49" width="12.85546875" style="66" bestFit="1" customWidth="1"/>
    <col min="50" max="51" width="10.42578125" style="66" bestFit="1" customWidth="1"/>
    <col min="52" max="52" width="14.28515625" style="42" bestFit="1" customWidth="1"/>
    <col min="53" max="53" width="12.85546875" style="66" bestFit="1" customWidth="1"/>
    <col min="54" max="16384" width="9.140625" style="66"/>
  </cols>
  <sheetData>
    <row r="1" spans="1:53" s="307" customFormat="1" ht="17.25" thickBot="1">
      <c r="A1" s="1145" t="s">
        <v>376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  <c r="N1" s="1145"/>
      <c r="O1" s="1145"/>
      <c r="P1" s="1145"/>
      <c r="Q1" s="1145"/>
      <c r="R1" s="1145"/>
      <c r="S1" s="1145"/>
      <c r="T1" s="1145"/>
      <c r="U1" s="1145"/>
      <c r="V1" s="1145"/>
      <c r="W1" s="1145"/>
      <c r="X1" s="1145"/>
      <c r="Y1" s="1145"/>
      <c r="Z1" s="1145"/>
      <c r="AA1" s="1145"/>
      <c r="AB1" s="1145"/>
      <c r="AC1" s="1145"/>
      <c r="AD1" s="1145"/>
      <c r="AE1" s="1145"/>
      <c r="AF1" s="1145"/>
      <c r="AG1" s="1145"/>
      <c r="AH1" s="1145"/>
      <c r="AI1" s="1145"/>
      <c r="AJ1" s="1145"/>
      <c r="AK1" s="1145"/>
      <c r="AL1" s="1145"/>
      <c r="AM1" s="1145"/>
      <c r="AN1" s="1145"/>
      <c r="AO1" s="1145"/>
      <c r="AP1" s="1145"/>
      <c r="AQ1" s="1145"/>
      <c r="AR1" s="1145"/>
      <c r="AS1" s="1145"/>
      <c r="AT1" s="1145"/>
      <c r="AU1" s="1145"/>
      <c r="AV1" s="1145"/>
      <c r="AW1" s="1145"/>
      <c r="AX1" s="1145"/>
      <c r="AY1" s="1145"/>
      <c r="AZ1" s="1145"/>
    </row>
    <row r="2" spans="1:53" ht="69" customHeight="1" thickBot="1">
      <c r="A2" s="1144" t="s">
        <v>0</v>
      </c>
      <c r="B2" s="1059" t="s">
        <v>150</v>
      </c>
      <c r="C2" s="1060"/>
      <c r="D2" s="1061" t="s">
        <v>151</v>
      </c>
      <c r="E2" s="1062"/>
      <c r="F2" s="1061" t="s">
        <v>152</v>
      </c>
      <c r="G2" s="1062"/>
      <c r="H2" s="1061" t="s">
        <v>153</v>
      </c>
      <c r="I2" s="1062"/>
      <c r="J2" s="1146" t="s">
        <v>154</v>
      </c>
      <c r="K2" s="1147"/>
      <c r="L2" s="1146" t="s">
        <v>155</v>
      </c>
      <c r="M2" s="1147"/>
      <c r="N2" s="1061" t="s">
        <v>255</v>
      </c>
      <c r="O2" s="1062"/>
      <c r="P2" s="1061" t="s">
        <v>156</v>
      </c>
      <c r="Q2" s="1062"/>
      <c r="R2" s="1061" t="s">
        <v>157</v>
      </c>
      <c r="S2" s="1062"/>
      <c r="T2" s="1148" t="s">
        <v>158</v>
      </c>
      <c r="U2" s="1147"/>
      <c r="V2" s="1061" t="s">
        <v>159</v>
      </c>
      <c r="W2" s="1062"/>
      <c r="X2" s="1061" t="s">
        <v>160</v>
      </c>
      <c r="Y2" s="1062"/>
      <c r="Z2" s="1061" t="s">
        <v>365</v>
      </c>
      <c r="AA2" s="1062"/>
      <c r="AB2" s="1061" t="s">
        <v>161</v>
      </c>
      <c r="AC2" s="1062"/>
      <c r="AD2" s="1061" t="s">
        <v>162</v>
      </c>
      <c r="AE2" s="1062"/>
      <c r="AF2" s="1061" t="s">
        <v>163</v>
      </c>
      <c r="AG2" s="1062"/>
      <c r="AH2" s="1061" t="s">
        <v>164</v>
      </c>
      <c r="AI2" s="1062"/>
      <c r="AJ2" s="1061" t="s">
        <v>165</v>
      </c>
      <c r="AK2" s="1062"/>
      <c r="AL2" s="1061" t="s">
        <v>166</v>
      </c>
      <c r="AM2" s="1062"/>
      <c r="AN2" s="1061" t="s">
        <v>167</v>
      </c>
      <c r="AO2" s="1062"/>
      <c r="AP2" s="1061" t="s">
        <v>168</v>
      </c>
      <c r="AQ2" s="1062"/>
      <c r="AR2" s="1061" t="s">
        <v>169</v>
      </c>
      <c r="AS2" s="1062"/>
      <c r="AT2" s="1061" t="s">
        <v>170</v>
      </c>
      <c r="AU2" s="1062"/>
      <c r="AV2" s="1061" t="s">
        <v>1</v>
      </c>
      <c r="AW2" s="1062"/>
      <c r="AX2" s="1061" t="s">
        <v>171</v>
      </c>
      <c r="AY2" s="1062"/>
      <c r="AZ2" s="1127" t="s">
        <v>2</v>
      </c>
      <c r="BA2" s="1133"/>
    </row>
    <row r="3" spans="1:53" s="347" customFormat="1" ht="36.75" customHeight="1" thickBot="1">
      <c r="A3" s="1144"/>
      <c r="B3" s="429" t="s">
        <v>259</v>
      </c>
      <c r="C3" s="429" t="s">
        <v>359</v>
      </c>
      <c r="D3" s="429" t="s">
        <v>259</v>
      </c>
      <c r="E3" s="429" t="s">
        <v>359</v>
      </c>
      <c r="F3" s="429" t="s">
        <v>259</v>
      </c>
      <c r="G3" s="429" t="s">
        <v>359</v>
      </c>
      <c r="H3" s="429" t="s">
        <v>259</v>
      </c>
      <c r="I3" s="429" t="s">
        <v>359</v>
      </c>
      <c r="J3" s="429" t="s">
        <v>259</v>
      </c>
      <c r="K3" s="429" t="s">
        <v>359</v>
      </c>
      <c r="L3" s="429" t="s">
        <v>259</v>
      </c>
      <c r="M3" s="429" t="s">
        <v>359</v>
      </c>
      <c r="N3" s="429" t="s">
        <v>259</v>
      </c>
      <c r="O3" s="429" t="s">
        <v>359</v>
      </c>
      <c r="P3" s="429" t="s">
        <v>259</v>
      </c>
      <c r="Q3" s="429" t="s">
        <v>359</v>
      </c>
      <c r="R3" s="429" t="s">
        <v>259</v>
      </c>
      <c r="S3" s="429" t="s">
        <v>359</v>
      </c>
      <c r="T3" s="429" t="s">
        <v>259</v>
      </c>
      <c r="U3" s="429" t="s">
        <v>359</v>
      </c>
      <c r="V3" s="429" t="s">
        <v>259</v>
      </c>
      <c r="W3" s="429" t="s">
        <v>359</v>
      </c>
      <c r="X3" s="429" t="s">
        <v>259</v>
      </c>
      <c r="Y3" s="429" t="s">
        <v>359</v>
      </c>
      <c r="Z3" s="429" t="s">
        <v>259</v>
      </c>
      <c r="AA3" s="429" t="s">
        <v>359</v>
      </c>
      <c r="AB3" s="429" t="s">
        <v>259</v>
      </c>
      <c r="AC3" s="429" t="s">
        <v>359</v>
      </c>
      <c r="AD3" s="429" t="s">
        <v>259</v>
      </c>
      <c r="AE3" s="429" t="s">
        <v>359</v>
      </c>
      <c r="AF3" s="429" t="s">
        <v>259</v>
      </c>
      <c r="AG3" s="429" t="s">
        <v>359</v>
      </c>
      <c r="AH3" s="429" t="s">
        <v>259</v>
      </c>
      <c r="AI3" s="429" t="s">
        <v>359</v>
      </c>
      <c r="AJ3" s="429" t="s">
        <v>259</v>
      </c>
      <c r="AK3" s="429" t="s">
        <v>359</v>
      </c>
      <c r="AL3" s="429" t="s">
        <v>259</v>
      </c>
      <c r="AM3" s="429" t="s">
        <v>359</v>
      </c>
      <c r="AN3" s="429" t="s">
        <v>259</v>
      </c>
      <c r="AO3" s="429" t="s">
        <v>359</v>
      </c>
      <c r="AP3" s="429" t="s">
        <v>259</v>
      </c>
      <c r="AQ3" s="429" t="s">
        <v>359</v>
      </c>
      <c r="AR3" s="429" t="s">
        <v>259</v>
      </c>
      <c r="AS3" s="429" t="s">
        <v>359</v>
      </c>
      <c r="AT3" s="429" t="s">
        <v>259</v>
      </c>
      <c r="AU3" s="429" t="s">
        <v>359</v>
      </c>
      <c r="AV3" s="429" t="s">
        <v>259</v>
      </c>
      <c r="AW3" s="429" t="s">
        <v>359</v>
      </c>
      <c r="AX3" s="429" t="s">
        <v>259</v>
      </c>
      <c r="AY3" s="429" t="s">
        <v>359</v>
      </c>
      <c r="AZ3" s="429" t="s">
        <v>259</v>
      </c>
      <c r="BA3" s="429" t="s">
        <v>359</v>
      </c>
    </row>
    <row r="4" spans="1:53">
      <c r="A4" s="556" t="s">
        <v>221</v>
      </c>
      <c r="B4" s="554"/>
      <c r="C4" s="555"/>
      <c r="D4" s="550"/>
      <c r="E4" s="550"/>
      <c r="F4" s="1055">
        <v>0</v>
      </c>
      <c r="G4" s="1055">
        <v>0</v>
      </c>
      <c r="H4" s="550"/>
      <c r="I4" s="550"/>
      <c r="J4" s="550"/>
      <c r="K4" s="550"/>
      <c r="L4" s="550"/>
      <c r="M4" s="550"/>
      <c r="N4" s="544"/>
      <c r="O4" s="544"/>
      <c r="P4" s="544"/>
      <c r="Q4" s="544"/>
      <c r="R4" s="943">
        <v>0</v>
      </c>
      <c r="S4" s="545">
        <v>0</v>
      </c>
      <c r="T4" s="941">
        <v>0</v>
      </c>
      <c r="U4" s="942">
        <v>0</v>
      </c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>
        <v>0</v>
      </c>
      <c r="AI4" s="544">
        <v>0</v>
      </c>
      <c r="AJ4" s="544"/>
      <c r="AK4" s="544"/>
      <c r="AL4" s="544"/>
      <c r="AM4" s="544"/>
      <c r="AN4" s="544"/>
      <c r="AO4" s="544"/>
      <c r="AP4" s="544"/>
      <c r="AQ4" s="544"/>
      <c r="AR4" s="544"/>
      <c r="AS4" s="544"/>
      <c r="AT4" s="544"/>
      <c r="AU4" s="545"/>
      <c r="AV4" s="558">
        <f>SUM(B4+D4+F4+H4+J4+L4+N4+P4+R4+T4+V4+X4+Z4+AB4+AD4+AF4+AH4+AJ4+AL4+AN4+AP4+AR4+AT4)</f>
        <v>0</v>
      </c>
      <c r="AW4" s="559">
        <f>SUM(C4+E4+G4+I4+K4+M4+O4+Q4+S4+U4+W4+Y4+AA4+AC4+AE4+AG4+AI4+AK4+AM4+AO4+AQ4+AS4+AU4)</f>
        <v>0</v>
      </c>
      <c r="AX4" s="544"/>
      <c r="AY4" s="545"/>
      <c r="AZ4" s="558">
        <f>AV4+AX4</f>
        <v>0</v>
      </c>
      <c r="BA4" s="559">
        <f>AW4+AY4</f>
        <v>0</v>
      </c>
    </row>
    <row r="5" spans="1:53">
      <c r="A5" s="407" t="s">
        <v>222</v>
      </c>
      <c r="B5" s="551"/>
      <c r="C5" s="55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3"/>
      <c r="S5" s="546"/>
      <c r="T5" s="551"/>
      <c r="U5" s="55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>
        <v>2587.84</v>
      </c>
      <c r="AG5" s="542">
        <v>2588</v>
      </c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6"/>
      <c r="AV5" s="551">
        <f t="shared" ref="AV5:AV14" si="0">SUM(B5+D5+F5+H5+J5+L5+N5+P5+R5+T5+V5+X5+Z5+AB5+AD5+AF5+AH5+AJ5+AL5+AN5+AP5+AR5+AT5)</f>
        <v>2587.84</v>
      </c>
      <c r="AW5" s="552">
        <f t="shared" ref="AW5:AW14" si="1">SUM(C5+E5+G5+I5+K5+M5+O5+Q5+S5+U5+W5+Y5+AA5+AC5+AE5+AG5+AI5+AK5+AM5+AO5+AQ5+AS5+AU5)</f>
        <v>2588</v>
      </c>
      <c r="AX5" s="542"/>
      <c r="AY5" s="546"/>
      <c r="AZ5" s="551">
        <f t="shared" ref="AZ5:AZ14" si="2">AV5+AX5</f>
        <v>2587.84</v>
      </c>
      <c r="BA5" s="552">
        <f t="shared" ref="BA5:BA14" si="3">AW5+AY5</f>
        <v>2588</v>
      </c>
    </row>
    <row r="6" spans="1:53">
      <c r="A6" s="407" t="s">
        <v>223</v>
      </c>
      <c r="B6" s="551">
        <v>6829</v>
      </c>
      <c r="C6" s="552">
        <v>6829</v>
      </c>
      <c r="D6" s="547">
        <v>87637.05</v>
      </c>
      <c r="E6" s="547">
        <v>89617</v>
      </c>
      <c r="F6" s="542"/>
      <c r="G6" s="542"/>
      <c r="H6" s="542">
        <v>105995.5</v>
      </c>
      <c r="I6" s="542">
        <f>H6</f>
        <v>105995.5</v>
      </c>
      <c r="J6" s="542">
        <v>20744</v>
      </c>
      <c r="K6" s="542">
        <v>20744</v>
      </c>
      <c r="L6" s="542">
        <v>12500</v>
      </c>
      <c r="M6" s="542">
        <v>12500</v>
      </c>
      <c r="N6" s="542">
        <v>83292</v>
      </c>
      <c r="O6" s="542">
        <v>83292</v>
      </c>
      <c r="P6" s="542">
        <v>168484.78</v>
      </c>
      <c r="Q6" s="542">
        <v>171192</v>
      </c>
      <c r="R6" s="543"/>
      <c r="S6" s="546"/>
      <c r="T6" s="551"/>
      <c r="U6" s="552">
        <v>10000</v>
      </c>
      <c r="V6" s="542">
        <v>41442</v>
      </c>
      <c r="W6" s="542">
        <v>56496</v>
      </c>
      <c r="X6" s="542">
        <v>343034</v>
      </c>
      <c r="Y6" s="542">
        <v>347549</v>
      </c>
      <c r="Z6" s="542"/>
      <c r="AA6" s="542"/>
      <c r="AB6" s="542">
        <v>27000</v>
      </c>
      <c r="AC6" s="542">
        <f>AB6</f>
        <v>27000</v>
      </c>
      <c r="AD6" s="542">
        <v>5204</v>
      </c>
      <c r="AE6" s="542">
        <v>5204</v>
      </c>
      <c r="AF6" s="542">
        <v>6809.13</v>
      </c>
      <c r="AG6" s="542">
        <v>6617</v>
      </c>
      <c r="AH6" s="542"/>
      <c r="AI6" s="542"/>
      <c r="AJ6" s="542">
        <v>30315.919999999998</v>
      </c>
      <c r="AK6" s="542">
        <v>30316</v>
      </c>
      <c r="AL6" s="542"/>
      <c r="AM6" s="542"/>
      <c r="AN6" s="542">
        <v>272</v>
      </c>
      <c r="AO6" s="542">
        <v>1279</v>
      </c>
      <c r="AP6" s="542">
        <v>119.74</v>
      </c>
      <c r="AQ6" s="542">
        <v>346</v>
      </c>
      <c r="AR6" s="542">
        <v>26860.560000000001</v>
      </c>
      <c r="AS6" s="542">
        <v>26861</v>
      </c>
      <c r="AT6" s="542"/>
      <c r="AU6" s="546"/>
      <c r="AV6" s="551">
        <f t="shared" si="0"/>
        <v>966539.68</v>
      </c>
      <c r="AW6" s="552">
        <f t="shared" si="1"/>
        <v>1001837.5</v>
      </c>
      <c r="AX6" s="542"/>
      <c r="AY6" s="546"/>
      <c r="AZ6" s="551">
        <f t="shared" si="2"/>
        <v>966539.68</v>
      </c>
      <c r="BA6" s="552">
        <f t="shared" si="3"/>
        <v>1001837.5</v>
      </c>
    </row>
    <row r="7" spans="1:53">
      <c r="A7" s="407" t="s">
        <v>224</v>
      </c>
      <c r="B7" s="551">
        <v>20000</v>
      </c>
      <c r="C7" s="552">
        <v>20000</v>
      </c>
      <c r="D7" s="547"/>
      <c r="E7" s="547"/>
      <c r="F7" s="542"/>
      <c r="G7" s="542"/>
      <c r="H7" s="542">
        <v>4765.29</v>
      </c>
      <c r="I7" s="542">
        <v>5142</v>
      </c>
      <c r="J7" s="542">
        <v>467</v>
      </c>
      <c r="K7" s="542">
        <v>922</v>
      </c>
      <c r="L7" s="542"/>
      <c r="M7" s="542"/>
      <c r="N7" s="542"/>
      <c r="O7" s="542"/>
      <c r="P7" s="542"/>
      <c r="Q7" s="542"/>
      <c r="R7" s="543"/>
      <c r="S7" s="546"/>
      <c r="T7" s="551"/>
      <c r="U7" s="552"/>
      <c r="V7" s="542"/>
      <c r="W7" s="542"/>
      <c r="X7" s="542">
        <v>2585</v>
      </c>
      <c r="Y7" s="542">
        <v>2335</v>
      </c>
      <c r="Z7" s="542"/>
      <c r="AA7" s="542"/>
      <c r="AB7" s="542"/>
      <c r="AC7" s="542"/>
      <c r="AD7" s="542"/>
      <c r="AE7" s="542"/>
      <c r="AF7" s="542"/>
      <c r="AG7" s="542"/>
      <c r="AH7" s="542">
        <v>443.86</v>
      </c>
      <c r="AI7" s="542">
        <v>436</v>
      </c>
      <c r="AJ7" s="542"/>
      <c r="AK7" s="542"/>
      <c r="AL7" s="542"/>
      <c r="AM7" s="542"/>
      <c r="AN7" s="542"/>
      <c r="AO7" s="542"/>
      <c r="AP7" s="542"/>
      <c r="AQ7" s="542"/>
      <c r="AR7" s="542"/>
      <c r="AS7" s="542"/>
      <c r="AT7" s="542">
        <v>2596</v>
      </c>
      <c r="AU7" s="546">
        <v>2596</v>
      </c>
      <c r="AV7" s="551">
        <f t="shared" si="0"/>
        <v>30857.15</v>
      </c>
      <c r="AW7" s="552">
        <f t="shared" si="1"/>
        <v>31431</v>
      </c>
      <c r="AX7" s="542"/>
      <c r="AY7" s="546"/>
      <c r="AZ7" s="551">
        <f t="shared" si="2"/>
        <v>30857.15</v>
      </c>
      <c r="BA7" s="552">
        <f t="shared" si="3"/>
        <v>31431</v>
      </c>
    </row>
    <row r="8" spans="1:53">
      <c r="A8" s="407" t="s">
        <v>225</v>
      </c>
      <c r="B8" s="551">
        <v>4061</v>
      </c>
      <c r="C8" s="552">
        <v>4061</v>
      </c>
      <c r="D8" s="547"/>
      <c r="E8" s="547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>
        <v>341.44</v>
      </c>
      <c r="Q8" s="542"/>
      <c r="R8" s="543"/>
      <c r="S8" s="546"/>
      <c r="T8" s="551"/>
      <c r="U8" s="552"/>
      <c r="V8" s="542"/>
      <c r="W8" s="542"/>
      <c r="X8" s="542"/>
      <c r="Y8" s="542"/>
      <c r="Z8" s="542"/>
      <c r="AA8" s="542"/>
      <c r="AB8" s="542"/>
      <c r="AC8" s="542"/>
      <c r="AD8" s="542"/>
      <c r="AE8" s="542"/>
      <c r="AF8" s="542"/>
      <c r="AG8" s="542"/>
      <c r="AH8" s="542"/>
      <c r="AI8" s="542"/>
      <c r="AJ8" s="542"/>
      <c r="AK8" s="542"/>
      <c r="AL8" s="542"/>
      <c r="AM8" s="542"/>
      <c r="AN8" s="542"/>
      <c r="AO8" s="542"/>
      <c r="AP8" s="542"/>
      <c r="AQ8" s="542"/>
      <c r="AR8" s="542"/>
      <c r="AS8" s="542"/>
      <c r="AT8" s="542"/>
      <c r="AU8" s="546"/>
      <c r="AV8" s="551">
        <f t="shared" si="0"/>
        <v>4402.4399999999996</v>
      </c>
      <c r="AW8" s="552">
        <f t="shared" si="1"/>
        <v>4061</v>
      </c>
      <c r="AX8" s="542"/>
      <c r="AY8" s="546"/>
      <c r="AZ8" s="551">
        <f t="shared" si="2"/>
        <v>4402.4399999999996</v>
      </c>
      <c r="BA8" s="552">
        <f t="shared" si="3"/>
        <v>4061</v>
      </c>
    </row>
    <row r="9" spans="1:53">
      <c r="A9" s="407" t="s">
        <v>226</v>
      </c>
      <c r="B9" s="551"/>
      <c r="C9" s="552"/>
      <c r="D9" s="547"/>
      <c r="E9" s="547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3"/>
      <c r="S9" s="546"/>
      <c r="T9" s="551"/>
      <c r="U9" s="552"/>
      <c r="V9" s="542"/>
      <c r="W9" s="542"/>
      <c r="X9" s="542"/>
      <c r="Y9" s="542"/>
      <c r="Z9" s="542"/>
      <c r="AA9" s="542"/>
      <c r="AB9" s="542"/>
      <c r="AC9" s="542"/>
      <c r="AD9" s="542"/>
      <c r="AE9" s="542"/>
      <c r="AF9" s="542"/>
      <c r="AG9" s="542"/>
      <c r="AH9" s="542"/>
      <c r="AI9" s="542"/>
      <c r="AJ9" s="542"/>
      <c r="AK9" s="542"/>
      <c r="AL9" s="542"/>
      <c r="AM9" s="542"/>
      <c r="AN9" s="542"/>
      <c r="AO9" s="542"/>
      <c r="AP9" s="542"/>
      <c r="AQ9" s="542"/>
      <c r="AR9" s="542"/>
      <c r="AS9" s="542"/>
      <c r="AT9" s="542"/>
      <c r="AU9" s="546"/>
      <c r="AV9" s="551">
        <f t="shared" si="0"/>
        <v>0</v>
      </c>
      <c r="AW9" s="552">
        <f t="shared" si="1"/>
        <v>0</v>
      </c>
      <c r="AX9" s="542"/>
      <c r="AY9" s="546"/>
      <c r="AZ9" s="551">
        <f t="shared" si="2"/>
        <v>0</v>
      </c>
      <c r="BA9" s="552">
        <f t="shared" si="3"/>
        <v>0</v>
      </c>
    </row>
    <row r="10" spans="1:53">
      <c r="A10" s="407" t="s">
        <v>227</v>
      </c>
      <c r="B10" s="551"/>
      <c r="C10" s="552"/>
      <c r="D10" s="547"/>
      <c r="E10" s="547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3"/>
      <c r="S10" s="546"/>
      <c r="T10" s="551"/>
      <c r="U10" s="552"/>
      <c r="V10" s="542"/>
      <c r="W10" s="542"/>
      <c r="X10" s="542"/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2"/>
      <c r="AN10" s="542"/>
      <c r="AO10" s="542"/>
      <c r="AP10" s="542"/>
      <c r="AQ10" s="542"/>
      <c r="AR10" s="542"/>
      <c r="AS10" s="542"/>
      <c r="AT10" s="542"/>
      <c r="AU10" s="546"/>
      <c r="AV10" s="551">
        <f t="shared" si="0"/>
        <v>0</v>
      </c>
      <c r="AW10" s="552">
        <f t="shared" si="1"/>
        <v>0</v>
      </c>
      <c r="AX10" s="542"/>
      <c r="AY10" s="546"/>
      <c r="AZ10" s="551">
        <f t="shared" si="2"/>
        <v>0</v>
      </c>
      <c r="BA10" s="552">
        <f t="shared" si="3"/>
        <v>0</v>
      </c>
    </row>
    <row r="11" spans="1:53">
      <c r="A11" s="407" t="s">
        <v>228</v>
      </c>
      <c r="B11" s="551"/>
      <c r="C11" s="552"/>
      <c r="D11" s="547"/>
      <c r="E11" s="547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3"/>
      <c r="S11" s="546"/>
      <c r="T11" s="551"/>
      <c r="U11" s="55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  <c r="AG11" s="542"/>
      <c r="AH11" s="542"/>
      <c r="AI11" s="542"/>
      <c r="AJ11" s="542"/>
      <c r="AK11" s="542"/>
      <c r="AL11" s="542"/>
      <c r="AM11" s="542"/>
      <c r="AN11" s="542"/>
      <c r="AO11" s="542"/>
      <c r="AP11" s="542"/>
      <c r="AQ11" s="542"/>
      <c r="AR11" s="542"/>
      <c r="AS11" s="542"/>
      <c r="AT11" s="542"/>
      <c r="AU11" s="546"/>
      <c r="AV11" s="551">
        <f t="shared" si="0"/>
        <v>0</v>
      </c>
      <c r="AW11" s="552">
        <f t="shared" si="1"/>
        <v>0</v>
      </c>
      <c r="AX11" s="542"/>
      <c r="AY11" s="546"/>
      <c r="AZ11" s="551">
        <f t="shared" si="2"/>
        <v>0</v>
      </c>
      <c r="BA11" s="552">
        <f t="shared" si="3"/>
        <v>0</v>
      </c>
    </row>
    <row r="12" spans="1:53">
      <c r="A12" s="407" t="s">
        <v>229</v>
      </c>
      <c r="B12" s="551"/>
      <c r="C12" s="552">
        <f>3450+4816</f>
        <v>8266</v>
      </c>
      <c r="D12" s="547"/>
      <c r="E12" s="547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3"/>
      <c r="S12" s="546"/>
      <c r="T12" s="551"/>
      <c r="U12" s="552"/>
      <c r="V12" s="542"/>
      <c r="W12" s="542"/>
      <c r="X12" s="542"/>
      <c r="Y12" s="542"/>
      <c r="Z12" s="542"/>
      <c r="AA12" s="542"/>
      <c r="AB12" s="542">
        <v>1000</v>
      </c>
      <c r="AC12" s="542">
        <f>AB12</f>
        <v>1000</v>
      </c>
      <c r="AD12" s="542"/>
      <c r="AE12" s="542"/>
      <c r="AF12" s="542">
        <v>9429.86</v>
      </c>
      <c r="AG12" s="542">
        <f>13688+992</f>
        <v>14680</v>
      </c>
      <c r="AH12" s="542"/>
      <c r="AI12" s="542"/>
      <c r="AJ12" s="542"/>
      <c r="AK12" s="542"/>
      <c r="AL12" s="542"/>
      <c r="AM12" s="542"/>
      <c r="AN12" s="542">
        <v>24</v>
      </c>
      <c r="AO12" s="542">
        <v>73</v>
      </c>
      <c r="AP12" s="542"/>
      <c r="AQ12" s="542"/>
      <c r="AR12" s="542"/>
      <c r="AS12" s="542"/>
      <c r="AT12" s="542"/>
      <c r="AU12" s="546"/>
      <c r="AV12" s="551">
        <f t="shared" si="0"/>
        <v>10453.86</v>
      </c>
      <c r="AW12" s="552">
        <f t="shared" si="1"/>
        <v>24019</v>
      </c>
      <c r="AX12" s="542"/>
      <c r="AY12" s="546"/>
      <c r="AZ12" s="551">
        <f t="shared" si="2"/>
        <v>10453.86</v>
      </c>
      <c r="BA12" s="552">
        <f t="shared" si="3"/>
        <v>24019</v>
      </c>
    </row>
    <row r="13" spans="1:53">
      <c r="A13" s="407" t="s">
        <v>230</v>
      </c>
      <c r="B13" s="551">
        <v>3310</v>
      </c>
      <c r="C13" s="552">
        <v>12107</v>
      </c>
      <c r="D13" s="547"/>
      <c r="E13" s="547"/>
      <c r="F13" s="542"/>
      <c r="G13" s="542"/>
      <c r="H13" s="542">
        <v>888951.41</v>
      </c>
      <c r="I13" s="542">
        <v>926431</v>
      </c>
      <c r="J13" s="542"/>
      <c r="K13" s="542"/>
      <c r="L13" s="542"/>
      <c r="M13" s="542"/>
      <c r="N13" s="542"/>
      <c r="O13" s="542"/>
      <c r="P13" s="542"/>
      <c r="Q13" s="542"/>
      <c r="R13" s="543"/>
      <c r="S13" s="546"/>
      <c r="T13" s="551"/>
      <c r="U13" s="552"/>
      <c r="V13" s="542">
        <v>534647</v>
      </c>
      <c r="W13" s="542">
        <v>609744</v>
      </c>
      <c r="X13" s="542">
        <v>323379</v>
      </c>
      <c r="Y13" s="542">
        <v>357364</v>
      </c>
      <c r="Z13" s="542">
        <v>13378</v>
      </c>
      <c r="AA13" s="542">
        <v>15315</v>
      </c>
      <c r="AB13" s="542"/>
      <c r="AC13" s="542"/>
      <c r="AD13" s="542">
        <v>288700.02</v>
      </c>
      <c r="AE13" s="542">
        <v>322947</v>
      </c>
      <c r="AF13" s="542">
        <v>71549.33</v>
      </c>
      <c r="AG13" s="542">
        <v>79239</v>
      </c>
      <c r="AH13" s="542"/>
      <c r="AI13" s="542"/>
      <c r="AJ13" s="542"/>
      <c r="AK13" s="542"/>
      <c r="AL13" s="542"/>
      <c r="AM13" s="542"/>
      <c r="AN13" s="542">
        <v>857295</v>
      </c>
      <c r="AO13" s="542">
        <v>955794</v>
      </c>
      <c r="AP13" s="542">
        <v>48373.23</v>
      </c>
      <c r="AQ13" s="542">
        <v>45353</v>
      </c>
      <c r="AR13" s="542">
        <v>11470</v>
      </c>
      <c r="AS13" s="542">
        <v>10938</v>
      </c>
      <c r="AT13" s="542">
        <v>5621</v>
      </c>
      <c r="AU13" s="546">
        <v>11343</v>
      </c>
      <c r="AV13" s="551">
        <f t="shared" si="0"/>
        <v>3046673.99</v>
      </c>
      <c r="AW13" s="552">
        <f t="shared" si="1"/>
        <v>3346575</v>
      </c>
      <c r="AX13" s="542"/>
      <c r="AY13" s="546"/>
      <c r="AZ13" s="551">
        <f t="shared" si="2"/>
        <v>3046673.99</v>
      </c>
      <c r="BA13" s="552">
        <f t="shared" si="3"/>
        <v>3346575</v>
      </c>
    </row>
    <row r="14" spans="1:53" s="405" customFormat="1" ht="17.25" thickBot="1">
      <c r="A14" s="557" t="s">
        <v>54</v>
      </c>
      <c r="B14" s="553">
        <f t="shared" ref="B14:AY14" si="4">SUM(B4:B13)</f>
        <v>34200</v>
      </c>
      <c r="C14" s="403">
        <f t="shared" si="4"/>
        <v>51263</v>
      </c>
      <c r="D14" s="402">
        <f t="shared" si="4"/>
        <v>87637.05</v>
      </c>
      <c r="E14" s="403">
        <f t="shared" si="4"/>
        <v>89617</v>
      </c>
      <c r="F14" s="403">
        <f t="shared" si="4"/>
        <v>0</v>
      </c>
      <c r="G14" s="403">
        <f t="shared" si="4"/>
        <v>0</v>
      </c>
      <c r="H14" s="403">
        <f t="shared" si="4"/>
        <v>999712.20000000007</v>
      </c>
      <c r="I14" s="403">
        <f t="shared" si="4"/>
        <v>1037568.5</v>
      </c>
      <c r="J14" s="403">
        <f t="shared" si="4"/>
        <v>21211</v>
      </c>
      <c r="K14" s="403">
        <f t="shared" si="4"/>
        <v>21666</v>
      </c>
      <c r="L14" s="403">
        <f t="shared" si="4"/>
        <v>12500</v>
      </c>
      <c r="M14" s="403">
        <f t="shared" si="4"/>
        <v>12500</v>
      </c>
      <c r="N14" s="403">
        <f t="shared" si="4"/>
        <v>83292</v>
      </c>
      <c r="O14" s="403">
        <f t="shared" si="4"/>
        <v>83292</v>
      </c>
      <c r="P14" s="403">
        <f t="shared" si="4"/>
        <v>168826.22</v>
      </c>
      <c r="Q14" s="403">
        <f t="shared" si="4"/>
        <v>171192</v>
      </c>
      <c r="R14" s="403">
        <f t="shared" si="4"/>
        <v>0</v>
      </c>
      <c r="S14" s="404">
        <f t="shared" si="4"/>
        <v>0</v>
      </c>
      <c r="T14" s="553">
        <f t="shared" si="4"/>
        <v>0</v>
      </c>
      <c r="U14" s="403">
        <f t="shared" si="4"/>
        <v>10000</v>
      </c>
      <c r="V14" s="402">
        <f t="shared" si="4"/>
        <v>576089</v>
      </c>
      <c r="W14" s="402">
        <f t="shared" si="4"/>
        <v>666240</v>
      </c>
      <c r="X14" s="402">
        <f t="shared" si="4"/>
        <v>668998</v>
      </c>
      <c r="Y14" s="402">
        <f t="shared" si="4"/>
        <v>707248</v>
      </c>
      <c r="Z14" s="402">
        <f t="shared" si="4"/>
        <v>13378</v>
      </c>
      <c r="AA14" s="402">
        <f t="shared" si="4"/>
        <v>15315</v>
      </c>
      <c r="AB14" s="402">
        <f t="shared" si="4"/>
        <v>28000</v>
      </c>
      <c r="AC14" s="402">
        <f t="shared" si="4"/>
        <v>28000</v>
      </c>
      <c r="AD14" s="402">
        <f t="shared" si="4"/>
        <v>293904.02</v>
      </c>
      <c r="AE14" s="402">
        <f t="shared" si="4"/>
        <v>328151</v>
      </c>
      <c r="AF14" s="402">
        <f t="shared" si="4"/>
        <v>90376.16</v>
      </c>
      <c r="AG14" s="402">
        <f t="shared" si="4"/>
        <v>103124</v>
      </c>
      <c r="AH14" s="402">
        <f t="shared" si="4"/>
        <v>443.86</v>
      </c>
      <c r="AI14" s="402">
        <f t="shared" si="4"/>
        <v>436</v>
      </c>
      <c r="AJ14" s="402">
        <f t="shared" si="4"/>
        <v>30315.919999999998</v>
      </c>
      <c r="AK14" s="402">
        <f t="shared" si="4"/>
        <v>30316</v>
      </c>
      <c r="AL14" s="402">
        <f t="shared" si="4"/>
        <v>0</v>
      </c>
      <c r="AM14" s="402"/>
      <c r="AN14" s="402">
        <f>SUM(AN4:AN13)</f>
        <v>857591</v>
      </c>
      <c r="AO14" s="402">
        <f t="shared" si="4"/>
        <v>957146</v>
      </c>
      <c r="AP14" s="402">
        <f t="shared" si="4"/>
        <v>48492.97</v>
      </c>
      <c r="AQ14" s="402">
        <f>SUM(AQ4:AQ13)</f>
        <v>45699</v>
      </c>
      <c r="AR14" s="402">
        <f t="shared" si="4"/>
        <v>38330.559999999998</v>
      </c>
      <c r="AS14" s="402">
        <f t="shared" si="4"/>
        <v>37799</v>
      </c>
      <c r="AT14" s="403">
        <f t="shared" si="4"/>
        <v>8217</v>
      </c>
      <c r="AU14" s="404">
        <f t="shared" si="4"/>
        <v>13939</v>
      </c>
      <c r="AV14" s="592">
        <f t="shared" si="0"/>
        <v>4061514.96</v>
      </c>
      <c r="AW14" s="593">
        <f t="shared" si="1"/>
        <v>4410511.5</v>
      </c>
      <c r="AX14" s="402">
        <f t="shared" si="4"/>
        <v>0</v>
      </c>
      <c r="AY14" s="404">
        <f t="shared" si="4"/>
        <v>0</v>
      </c>
      <c r="AZ14" s="592">
        <f t="shared" si="2"/>
        <v>4061514.96</v>
      </c>
      <c r="BA14" s="593">
        <f t="shared" si="3"/>
        <v>4410511.5</v>
      </c>
    </row>
  </sheetData>
  <mergeCells count="28">
    <mergeCell ref="AB2:AC2"/>
    <mergeCell ref="A2:A3"/>
    <mergeCell ref="A1:AZ1"/>
    <mergeCell ref="B2:C2"/>
    <mergeCell ref="D2:E2"/>
    <mergeCell ref="F2:G2"/>
    <mergeCell ref="H2:I2"/>
    <mergeCell ref="L2:M2"/>
    <mergeCell ref="J2:K2"/>
    <mergeCell ref="N2:O2"/>
    <mergeCell ref="P2:Q2"/>
    <mergeCell ref="R2:S2"/>
    <mergeCell ref="T2:U2"/>
    <mergeCell ref="V2:W2"/>
    <mergeCell ref="X2:Y2"/>
    <mergeCell ref="Z2:AA2"/>
    <mergeCell ref="AZ2:BA2"/>
    <mergeCell ref="AX2:AY2"/>
    <mergeCell ref="AV2:AW2"/>
    <mergeCell ref="AD2:AE2"/>
    <mergeCell ref="AF2:AG2"/>
    <mergeCell ref="AH2:AI2"/>
    <mergeCell ref="AT2:AU2"/>
    <mergeCell ref="AR2:AS2"/>
    <mergeCell ref="AP2:AQ2"/>
    <mergeCell ref="AN2:AO2"/>
    <mergeCell ref="AL2:AM2"/>
    <mergeCell ref="AJ2:A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A8"/>
  <sheetViews>
    <sheetView tabSelected="1" workbookViewId="0">
      <pane xSplit="1" topLeftCell="B1" activePane="topRight" state="frozen"/>
      <selection pane="topRight" sqref="A1:XFD1048576"/>
    </sheetView>
  </sheetViews>
  <sheetFormatPr defaultRowHeight="16.5"/>
  <cols>
    <col min="1" max="1" width="52.5703125" style="66" bestFit="1" customWidth="1"/>
    <col min="2" max="7" width="10.42578125" style="66" bestFit="1" customWidth="1"/>
    <col min="8" max="9" width="10.42578125" style="66" customWidth="1"/>
    <col min="10" max="25" width="10.42578125" style="66" bestFit="1" customWidth="1"/>
    <col min="26" max="27" width="10.42578125" style="66" customWidth="1"/>
    <col min="28" max="29" width="10.42578125" style="66" bestFit="1" customWidth="1"/>
    <col min="30" max="33" width="10.42578125" style="66" customWidth="1"/>
    <col min="34" max="49" width="10.42578125" style="66" bestFit="1" customWidth="1"/>
    <col min="50" max="51" width="10.42578125" style="66" customWidth="1"/>
    <col min="52" max="53" width="10.42578125" style="66" bestFit="1" customWidth="1"/>
    <col min="54" max="16384" width="9.140625" style="66"/>
  </cols>
  <sheetData>
    <row r="1" spans="1:53" s="307" customFormat="1" ht="17.25" thickBot="1">
      <c r="A1" s="1034" t="s">
        <v>371</v>
      </c>
    </row>
    <row r="2" spans="1:53" ht="129" customHeight="1" thickBot="1">
      <c r="A2" s="1149" t="s">
        <v>0</v>
      </c>
      <c r="B2" s="1059" t="s">
        <v>150</v>
      </c>
      <c r="C2" s="1060"/>
      <c r="D2" s="1061" t="s">
        <v>151</v>
      </c>
      <c r="E2" s="1062"/>
      <c r="F2" s="1061" t="s">
        <v>152</v>
      </c>
      <c r="G2" s="1062"/>
      <c r="H2" s="1061" t="s">
        <v>153</v>
      </c>
      <c r="I2" s="1062"/>
      <c r="J2" s="1061" t="s">
        <v>154</v>
      </c>
      <c r="K2" s="1062"/>
      <c r="L2" s="1061" t="s">
        <v>155</v>
      </c>
      <c r="M2" s="1062"/>
      <c r="N2" s="1061" t="s">
        <v>255</v>
      </c>
      <c r="O2" s="1062"/>
      <c r="P2" s="1061" t="s">
        <v>156</v>
      </c>
      <c r="Q2" s="1062"/>
      <c r="R2" s="1061" t="s">
        <v>157</v>
      </c>
      <c r="S2" s="1062"/>
      <c r="T2" s="1061" t="s">
        <v>158</v>
      </c>
      <c r="U2" s="1062"/>
      <c r="V2" s="1061" t="s">
        <v>159</v>
      </c>
      <c r="W2" s="1062"/>
      <c r="X2" s="1061" t="s">
        <v>160</v>
      </c>
      <c r="Y2" s="1062"/>
      <c r="Z2" s="1061" t="s">
        <v>365</v>
      </c>
      <c r="AA2" s="1062"/>
      <c r="AB2" s="1061" t="s">
        <v>161</v>
      </c>
      <c r="AC2" s="1062"/>
      <c r="AD2" s="1061" t="s">
        <v>162</v>
      </c>
      <c r="AE2" s="1062"/>
      <c r="AF2" s="1061" t="s">
        <v>163</v>
      </c>
      <c r="AG2" s="1062"/>
      <c r="AH2" s="1061" t="s">
        <v>164</v>
      </c>
      <c r="AI2" s="1062"/>
      <c r="AJ2" s="1061" t="s">
        <v>165</v>
      </c>
      <c r="AK2" s="1062"/>
      <c r="AL2" s="1061" t="s">
        <v>166</v>
      </c>
      <c r="AM2" s="1062"/>
      <c r="AN2" s="1061" t="s">
        <v>167</v>
      </c>
      <c r="AO2" s="1062"/>
      <c r="AP2" s="1061" t="s">
        <v>168</v>
      </c>
      <c r="AQ2" s="1108"/>
      <c r="AR2" s="1061" t="s">
        <v>169</v>
      </c>
      <c r="AS2" s="1062"/>
      <c r="AT2" s="1061" t="s">
        <v>170</v>
      </c>
      <c r="AU2" s="1062"/>
      <c r="AV2" s="1061" t="s">
        <v>1</v>
      </c>
      <c r="AW2" s="1062"/>
      <c r="AX2" s="1061" t="s">
        <v>171</v>
      </c>
      <c r="AY2" s="1062"/>
      <c r="AZ2" s="1061" t="s">
        <v>2</v>
      </c>
      <c r="BA2" s="1062"/>
    </row>
    <row r="3" spans="1:53" s="347" customFormat="1" ht="31.5" customHeight="1" thickBot="1">
      <c r="A3" s="1150"/>
      <c r="B3" s="429" t="s">
        <v>259</v>
      </c>
      <c r="C3" s="429" t="s">
        <v>359</v>
      </c>
      <c r="D3" s="429" t="s">
        <v>259</v>
      </c>
      <c r="E3" s="429" t="s">
        <v>359</v>
      </c>
      <c r="F3" s="429" t="s">
        <v>259</v>
      </c>
      <c r="G3" s="429" t="s">
        <v>359</v>
      </c>
      <c r="H3" s="429" t="s">
        <v>259</v>
      </c>
      <c r="I3" s="429" t="s">
        <v>359</v>
      </c>
      <c r="J3" s="429" t="s">
        <v>259</v>
      </c>
      <c r="K3" s="429" t="s">
        <v>359</v>
      </c>
      <c r="L3" s="429" t="s">
        <v>259</v>
      </c>
      <c r="M3" s="429" t="s">
        <v>359</v>
      </c>
      <c r="N3" s="429" t="s">
        <v>259</v>
      </c>
      <c r="O3" s="429" t="s">
        <v>359</v>
      </c>
      <c r="P3" s="429" t="s">
        <v>259</v>
      </c>
      <c r="Q3" s="429" t="s">
        <v>359</v>
      </c>
      <c r="R3" s="429" t="s">
        <v>259</v>
      </c>
      <c r="S3" s="429" t="s">
        <v>359</v>
      </c>
      <c r="T3" s="429" t="s">
        <v>259</v>
      </c>
      <c r="U3" s="429" t="s">
        <v>359</v>
      </c>
      <c r="V3" s="429" t="s">
        <v>259</v>
      </c>
      <c r="W3" s="429" t="s">
        <v>359</v>
      </c>
      <c r="X3" s="429" t="s">
        <v>259</v>
      </c>
      <c r="Y3" s="429" t="s">
        <v>359</v>
      </c>
      <c r="Z3" s="429" t="s">
        <v>259</v>
      </c>
      <c r="AA3" s="429" t="s">
        <v>359</v>
      </c>
      <c r="AB3" s="429" t="s">
        <v>259</v>
      </c>
      <c r="AC3" s="429" t="s">
        <v>359</v>
      </c>
      <c r="AD3" s="429" t="s">
        <v>259</v>
      </c>
      <c r="AE3" s="429" t="s">
        <v>359</v>
      </c>
      <c r="AF3" s="429" t="s">
        <v>259</v>
      </c>
      <c r="AG3" s="429" t="s">
        <v>359</v>
      </c>
      <c r="AH3" s="429" t="s">
        <v>259</v>
      </c>
      <c r="AI3" s="429" t="s">
        <v>359</v>
      </c>
      <c r="AJ3" s="429" t="s">
        <v>259</v>
      </c>
      <c r="AK3" s="429" t="s">
        <v>359</v>
      </c>
      <c r="AL3" s="429" t="s">
        <v>259</v>
      </c>
      <c r="AM3" s="429" t="s">
        <v>359</v>
      </c>
      <c r="AN3" s="429" t="s">
        <v>259</v>
      </c>
      <c r="AO3" s="429" t="s">
        <v>359</v>
      </c>
      <c r="AP3" s="429" t="s">
        <v>259</v>
      </c>
      <c r="AQ3" s="954" t="s">
        <v>359</v>
      </c>
      <c r="AR3" s="429" t="s">
        <v>259</v>
      </c>
      <c r="AS3" s="429" t="s">
        <v>359</v>
      </c>
      <c r="AT3" s="429" t="s">
        <v>259</v>
      </c>
      <c r="AU3" s="429" t="s">
        <v>359</v>
      </c>
      <c r="AV3" s="956" t="s">
        <v>259</v>
      </c>
      <c r="AW3" s="956" t="s">
        <v>359</v>
      </c>
      <c r="AX3" s="957" t="s">
        <v>259</v>
      </c>
      <c r="AY3" s="956" t="s">
        <v>359</v>
      </c>
      <c r="AZ3" s="956" t="s">
        <v>259</v>
      </c>
      <c r="BA3" s="429" t="s">
        <v>359</v>
      </c>
    </row>
    <row r="4" spans="1:53">
      <c r="A4" s="302" t="s">
        <v>231</v>
      </c>
      <c r="B4" s="940">
        <v>0</v>
      </c>
      <c r="C4" s="940">
        <v>34500</v>
      </c>
      <c r="D4" s="298">
        <v>7000</v>
      </c>
      <c r="E4" s="298">
        <v>7000</v>
      </c>
      <c r="F4" s="298">
        <v>0</v>
      </c>
      <c r="G4" s="298"/>
      <c r="H4" s="940">
        <v>0</v>
      </c>
      <c r="I4" s="940">
        <v>0</v>
      </c>
      <c r="J4" s="298">
        <v>6000</v>
      </c>
      <c r="K4" s="298">
        <v>6000</v>
      </c>
      <c r="L4" s="940">
        <v>0</v>
      </c>
      <c r="M4" s="940">
        <v>0</v>
      </c>
      <c r="N4" s="940">
        <v>0</v>
      </c>
      <c r="O4" s="940">
        <v>0</v>
      </c>
      <c r="P4" s="940">
        <v>0</v>
      </c>
      <c r="Q4" s="940">
        <v>0</v>
      </c>
      <c r="R4" s="298">
        <v>0</v>
      </c>
      <c r="S4" s="298">
        <v>0</v>
      </c>
      <c r="T4" s="940">
        <v>0</v>
      </c>
      <c r="U4" s="940">
        <v>3000</v>
      </c>
      <c r="V4" s="298">
        <v>60000</v>
      </c>
      <c r="W4" s="298">
        <v>60000</v>
      </c>
      <c r="X4" s="298">
        <v>120000</v>
      </c>
      <c r="Y4" s="298">
        <v>120000</v>
      </c>
      <c r="Z4" s="940">
        <v>0</v>
      </c>
      <c r="AA4" s="940">
        <v>0</v>
      </c>
      <c r="AB4" s="298">
        <v>10000</v>
      </c>
      <c r="AC4" s="298">
        <f>AB4</f>
        <v>10000</v>
      </c>
      <c r="AD4" s="940">
        <v>0</v>
      </c>
      <c r="AE4" s="940"/>
      <c r="AF4" s="940">
        <v>0</v>
      </c>
      <c r="AG4" s="940">
        <v>49600</v>
      </c>
      <c r="AH4" s="940">
        <v>0</v>
      </c>
      <c r="AI4" s="940">
        <v>0</v>
      </c>
      <c r="AJ4" s="940">
        <v>0</v>
      </c>
      <c r="AK4" s="940">
        <v>0</v>
      </c>
      <c r="AL4" s="298">
        <v>0</v>
      </c>
      <c r="AM4" s="298"/>
      <c r="AN4" s="940">
        <v>0</v>
      </c>
      <c r="AO4" s="940">
        <v>0</v>
      </c>
      <c r="AP4" s="940">
        <v>0</v>
      </c>
      <c r="AQ4" s="982">
        <v>0</v>
      </c>
      <c r="AR4" s="900">
        <v>0</v>
      </c>
      <c r="AS4" s="923">
        <v>0</v>
      </c>
      <c r="AT4" s="922">
        <v>0</v>
      </c>
      <c r="AU4" s="924">
        <v>0</v>
      </c>
      <c r="AV4" s="958"/>
      <c r="AW4" s="988"/>
      <c r="AX4" s="955"/>
      <c r="AY4" s="955"/>
      <c r="AZ4" s="305"/>
      <c r="BA4" s="300"/>
    </row>
    <row r="5" spans="1:53">
      <c r="A5" s="297" t="s">
        <v>232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 t="s">
        <v>238</v>
      </c>
      <c r="AQ5" s="303"/>
      <c r="AR5" s="903"/>
      <c r="AS5" s="299"/>
      <c r="AT5" s="304"/>
      <c r="AU5" s="924"/>
      <c r="AV5" s="903"/>
      <c r="AW5" s="902"/>
      <c r="AX5" s="955"/>
      <c r="AY5" s="955"/>
      <c r="AZ5" s="306"/>
      <c r="BA5" s="301"/>
    </row>
    <row r="6" spans="1:53">
      <c r="A6" s="297" t="s">
        <v>233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303"/>
      <c r="AR6" s="903"/>
      <c r="AS6" s="299"/>
      <c r="AT6" s="304"/>
      <c r="AU6" s="924"/>
      <c r="AV6" s="903"/>
      <c r="AW6" s="902"/>
      <c r="AX6" s="955"/>
      <c r="AY6" s="955"/>
      <c r="AZ6" s="306"/>
      <c r="BA6" s="301"/>
    </row>
    <row r="7" spans="1:53">
      <c r="A7" s="297" t="s">
        <v>74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303"/>
      <c r="AR7" s="903"/>
      <c r="AS7" s="299"/>
      <c r="AT7" s="304"/>
      <c r="AU7" s="924"/>
      <c r="AV7" s="903"/>
      <c r="AW7" s="902"/>
      <c r="AX7" s="955"/>
      <c r="AY7" s="955"/>
      <c r="AZ7" s="306"/>
      <c r="BA7" s="301"/>
    </row>
    <row r="8" spans="1:53" s="347" customFormat="1" ht="17.25" thickBot="1">
      <c r="A8" s="400" t="s">
        <v>54</v>
      </c>
      <c r="B8" s="401">
        <f>SUM(B4:B7)</f>
        <v>0</v>
      </c>
      <c r="C8" s="401">
        <f>C4</f>
        <v>34500</v>
      </c>
      <c r="D8" s="401">
        <f t="shared" ref="D8:AZ8" si="0">SUM(D4:D7)</f>
        <v>7000</v>
      </c>
      <c r="E8" s="401">
        <v>7000</v>
      </c>
      <c r="F8" s="401">
        <f t="shared" si="0"/>
        <v>0</v>
      </c>
      <c r="G8" s="401"/>
      <c r="H8" s="401">
        <f t="shared" si="0"/>
        <v>0</v>
      </c>
      <c r="I8" s="401">
        <v>0</v>
      </c>
      <c r="J8" s="401">
        <f t="shared" si="0"/>
        <v>6000</v>
      </c>
      <c r="K8" s="401">
        <f>K4</f>
        <v>6000</v>
      </c>
      <c r="L8" s="401">
        <f t="shared" si="0"/>
        <v>0</v>
      </c>
      <c r="M8" s="401">
        <v>0</v>
      </c>
      <c r="N8" s="401">
        <f t="shared" si="0"/>
        <v>0</v>
      </c>
      <c r="O8" s="401">
        <v>0</v>
      </c>
      <c r="P8" s="401">
        <f t="shared" si="0"/>
        <v>0</v>
      </c>
      <c r="Q8" s="401">
        <v>0</v>
      </c>
      <c r="R8" s="401">
        <f t="shared" si="0"/>
        <v>0</v>
      </c>
      <c r="S8" s="401">
        <v>0</v>
      </c>
      <c r="T8" s="401">
        <f t="shared" si="0"/>
        <v>0</v>
      </c>
      <c r="U8" s="401">
        <v>3000</v>
      </c>
      <c r="V8" s="401">
        <f t="shared" si="0"/>
        <v>60000</v>
      </c>
      <c r="W8" s="401">
        <f>W4</f>
        <v>60000</v>
      </c>
      <c r="X8" s="401">
        <f t="shared" si="0"/>
        <v>120000</v>
      </c>
      <c r="Y8" s="401">
        <v>120000</v>
      </c>
      <c r="Z8" s="401">
        <f t="shared" si="0"/>
        <v>0</v>
      </c>
      <c r="AA8" s="401">
        <v>0</v>
      </c>
      <c r="AB8" s="401">
        <f t="shared" si="0"/>
        <v>10000</v>
      </c>
      <c r="AC8" s="401">
        <f>AC4</f>
        <v>10000</v>
      </c>
      <c r="AD8" s="401">
        <f t="shared" si="0"/>
        <v>0</v>
      </c>
      <c r="AE8" s="401"/>
      <c r="AF8" s="401">
        <f t="shared" si="0"/>
        <v>0</v>
      </c>
      <c r="AG8" s="401">
        <v>49600</v>
      </c>
      <c r="AH8" s="401">
        <f t="shared" si="0"/>
        <v>0</v>
      </c>
      <c r="AI8" s="401">
        <v>0</v>
      </c>
      <c r="AJ8" s="401">
        <f t="shared" si="0"/>
        <v>0</v>
      </c>
      <c r="AK8" s="401">
        <v>0</v>
      </c>
      <c r="AL8" s="401">
        <f t="shared" si="0"/>
        <v>0</v>
      </c>
      <c r="AM8" s="401"/>
      <c r="AN8" s="401">
        <f t="shared" si="0"/>
        <v>0</v>
      </c>
      <c r="AO8" s="401">
        <v>0</v>
      </c>
      <c r="AP8" s="401">
        <f t="shared" si="0"/>
        <v>0</v>
      </c>
      <c r="AQ8" s="983">
        <v>0</v>
      </c>
      <c r="AR8" s="984">
        <f t="shared" si="0"/>
        <v>0</v>
      </c>
      <c r="AS8" s="401">
        <v>0</v>
      </c>
      <c r="AT8" s="984">
        <f t="shared" si="0"/>
        <v>0</v>
      </c>
      <c r="AU8" s="983">
        <v>0</v>
      </c>
      <c r="AV8" s="986">
        <f t="shared" si="0"/>
        <v>0</v>
      </c>
      <c r="AW8" s="989"/>
      <c r="AX8" s="985">
        <f t="shared" si="0"/>
        <v>0</v>
      </c>
      <c r="AY8" s="985"/>
      <c r="AZ8" s="990">
        <f t="shared" si="0"/>
        <v>0</v>
      </c>
      <c r="BA8" s="987"/>
    </row>
  </sheetData>
  <mergeCells count="27">
    <mergeCell ref="X2:Y2"/>
    <mergeCell ref="Z2:AA2"/>
    <mergeCell ref="AB2:AC2"/>
    <mergeCell ref="AZ2:BA2"/>
    <mergeCell ref="AX2:AY2"/>
    <mergeCell ref="AL2:AM2"/>
    <mergeCell ref="AN2:AO2"/>
    <mergeCell ref="AP2:AQ2"/>
    <mergeCell ref="AR2:AS2"/>
    <mergeCell ref="AT2:AU2"/>
    <mergeCell ref="AV2:AW2"/>
    <mergeCell ref="A2:A3"/>
    <mergeCell ref="AD2:AE2"/>
    <mergeCell ref="AF2:AG2"/>
    <mergeCell ref="AH2:AI2"/>
    <mergeCell ref="AJ2:AK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sandeep pannde</cp:lastModifiedBy>
  <dcterms:created xsi:type="dcterms:W3CDTF">2019-02-21T06:27:16Z</dcterms:created>
  <dcterms:modified xsi:type="dcterms:W3CDTF">2010-04-29T19:54:18Z</dcterms:modified>
</cp:coreProperties>
</file>